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F:\CPRP\Publications\25-14-002\"/>
    </mc:Choice>
  </mc:AlternateContent>
  <xr:revisionPtr revIDLastSave="0" documentId="13_ncr:1_{44D7870D-1E8F-4056-8306-6828938D50E2}" xr6:coauthVersionLast="47" xr6:coauthVersionMax="47" xr10:uidLastSave="{00000000-0000-0000-0000-000000000000}"/>
  <workbookProtection workbookAlgorithmName="SHA-512" workbookHashValue="CqwVZPMlQrhjK4IrgKdU8j+a3Mf1N75ZWakWtw4sXPhfAzb3OVnO72H7RkEZGLPH1uYQqyhvDd2lb9NR4qPMqw==" workbookSaltValue="5mzmNLXEC28E1IkwKG2sbQ==" workbookSpinCount="100000" lockStructure="1"/>
  <bookViews>
    <workbookView xWindow="28680" yWindow="-120" windowWidth="29040" windowHeight="15720" tabRatio="810" firstSheet="1" activeTab="4" xr2:uid="{CE13D3D4-E0F4-4EFC-AC1E-E07BC6F7A054}"/>
  </bookViews>
  <sheets>
    <sheet name="Forecast Summary" sheetId="8" r:id="rId1"/>
    <sheet name="Allowance Price Tables" sheetId="9" r:id="rId2"/>
    <sheet name="Appendix A - Supply Tables" sheetId="10" r:id="rId3"/>
    <sheet name="Appendix B - By Auction Detail" sheetId="5" r:id="rId4"/>
    <sheet name="Revenue - Historic Actuals" sheetId="11"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02" i="5" l="1"/>
  <c r="H203" i="5"/>
  <c r="H204" i="5"/>
  <c r="H126" i="5"/>
  <c r="H127" i="5"/>
  <c r="H128" i="5"/>
  <c r="H129" i="5"/>
  <c r="H130" i="5"/>
  <c r="H132" i="5"/>
  <c r="H133" i="5"/>
  <c r="H134" i="5"/>
  <c r="H56" i="5"/>
  <c r="H58" i="5"/>
  <c r="H59" i="5"/>
  <c r="H60" i="5"/>
  <c r="H62" i="5"/>
  <c r="H64" i="5"/>
  <c r="B65" i="10" l="1"/>
  <c r="B75" i="10"/>
  <c r="B66" i="10" l="1"/>
  <c r="C192" i="5"/>
  <c r="D192" i="5"/>
  <c r="E192" i="5"/>
  <c r="H192" i="5"/>
  <c r="C206" i="5"/>
  <c r="E206" i="5"/>
  <c r="H210" i="5"/>
  <c r="H212" i="5"/>
  <c r="H213" i="5"/>
  <c r="H214" i="5"/>
  <c r="H216" i="5"/>
  <c r="H218" i="5"/>
  <c r="E220" i="5"/>
  <c r="H224" i="5"/>
  <c r="H226" i="5"/>
  <c r="H227" i="5"/>
  <c r="H228" i="5"/>
  <c r="H230" i="5"/>
  <c r="H232" i="5"/>
  <c r="E234" i="5"/>
  <c r="H238" i="5"/>
  <c r="H240" i="5"/>
  <c r="H241" i="5"/>
  <c r="H242" i="5"/>
  <c r="H244" i="5"/>
  <c r="H246" i="5"/>
  <c r="E248" i="5"/>
  <c r="H252" i="5"/>
  <c r="H254" i="5"/>
  <c r="H255" i="5"/>
  <c r="H256" i="5"/>
  <c r="H258" i="5"/>
  <c r="H260" i="5"/>
  <c r="E262" i="5"/>
  <c r="B25" i="9" l="1"/>
  <c r="C108" i="5" l="1"/>
  <c r="D108" i="5"/>
  <c r="E108" i="5"/>
  <c r="E122" i="5"/>
  <c r="E136" i="5"/>
  <c r="E150" i="5"/>
  <c r="E164" i="5"/>
  <c r="E178" i="5"/>
  <c r="B102" i="10" l="1"/>
  <c r="B101" i="10"/>
  <c r="B69" i="10" l="1"/>
  <c r="B68" i="10"/>
  <c r="B67" i="10"/>
  <c r="C25" i="9" l="1"/>
  <c r="H92" i="5" l="1"/>
  <c r="H90" i="5"/>
  <c r="H88" i="5"/>
  <c r="H84" i="5"/>
  <c r="H78" i="5"/>
  <c r="H76" i="5"/>
  <c r="H74" i="5"/>
  <c r="H72" i="5"/>
  <c r="H70" i="5"/>
  <c r="H50" i="5"/>
  <c r="H48" i="5"/>
  <c r="H46" i="5"/>
  <c r="H45" i="5"/>
  <c r="H42" i="5"/>
  <c r="H36" i="5"/>
  <c r="C16" i="9" l="1"/>
  <c r="B16" i="9"/>
  <c r="B7" i="9"/>
  <c r="E13" i="11" l="1"/>
  <c r="E23" i="11" s="1"/>
  <c r="D13" i="11"/>
  <c r="D23" i="11" s="1"/>
  <c r="C13" i="11"/>
  <c r="C23" i="11" s="1"/>
  <c r="H13" i="11"/>
  <c r="G23" i="8"/>
  <c r="F23" i="8"/>
  <c r="E23" i="8"/>
  <c r="D23" i="8"/>
  <c r="C23" i="8"/>
  <c r="B23" i="8"/>
  <c r="G22" i="8"/>
  <c r="F22" i="8"/>
  <c r="E22" i="8"/>
  <c r="D22" i="8"/>
  <c r="C22" i="8"/>
  <c r="B22" i="8"/>
  <c r="E19" i="11"/>
  <c r="D19" i="11"/>
  <c r="C19" i="11"/>
  <c r="H18" i="11"/>
  <c r="H17" i="11"/>
  <c r="B169" i="10"/>
  <c r="H19" i="11" l="1"/>
  <c r="H23" i="11" s="1"/>
  <c r="H176" i="5"/>
  <c r="H174" i="5"/>
  <c r="H172" i="5"/>
  <c r="H171" i="5"/>
  <c r="H170" i="5"/>
  <c r="H168" i="5"/>
  <c r="H87" i="5"/>
  <c r="H86" i="5"/>
  <c r="H162" i="5"/>
  <c r="H160" i="5"/>
  <c r="H158" i="5"/>
  <c r="H157" i="5"/>
  <c r="H156" i="5"/>
  <c r="H154" i="5"/>
  <c r="H73" i="5"/>
  <c r="H148" i="5"/>
  <c r="H146" i="5"/>
  <c r="H144" i="5"/>
  <c r="H143" i="5"/>
  <c r="H142" i="5"/>
  <c r="H140" i="5"/>
  <c r="H120" i="5"/>
  <c r="H118" i="5"/>
  <c r="H108" i="5"/>
  <c r="H44" i="5"/>
  <c r="E94" i="5"/>
  <c r="E80" i="5"/>
  <c r="E66" i="5"/>
  <c r="E52" i="5"/>
  <c r="E38" i="5"/>
  <c r="D24" i="5"/>
  <c r="E24" i="5"/>
  <c r="C24" i="5"/>
  <c r="H24" i="5" l="1"/>
  <c r="B7" i="8" s="1"/>
  <c r="B170" i="10"/>
  <c r="B171" i="10"/>
  <c r="B172" i="10"/>
  <c r="B173" i="10"/>
  <c r="D257" i="5" l="1"/>
  <c r="D173" i="5"/>
  <c r="D247" i="5"/>
  <c r="D163" i="5"/>
  <c r="D233" i="5"/>
  <c r="D243" i="5"/>
  <c r="D159" i="5"/>
  <c r="D149" i="5"/>
  <c r="D121" i="5"/>
  <c r="D131" i="5"/>
  <c r="H131" i="5" s="1"/>
  <c r="D215" i="5"/>
  <c r="D219" i="5"/>
  <c r="D220" i="5" s="1"/>
  <c r="D145" i="5"/>
  <c r="D135" i="5"/>
  <c r="H135" i="5" s="1"/>
  <c r="D229" i="5"/>
  <c r="D205" i="5"/>
  <c r="H205" i="5" s="1"/>
  <c r="H206" i="5" s="1"/>
  <c r="B10" i="8"/>
  <c r="D89" i="5"/>
  <c r="D79" i="5"/>
  <c r="D65" i="5"/>
  <c r="D75" i="5"/>
  <c r="D47" i="5"/>
  <c r="D37" i="5"/>
  <c r="D38" i="5" s="1"/>
  <c r="D51" i="5"/>
  <c r="D61" i="5"/>
  <c r="C7" i="9"/>
  <c r="C6" i="9"/>
  <c r="B6" i="9"/>
  <c r="B8" i="9" s="1"/>
  <c r="H136" i="5" l="1"/>
  <c r="D248" i="5"/>
  <c r="D234" i="5"/>
  <c r="D66" i="5"/>
  <c r="D206" i="5"/>
  <c r="D52" i="5"/>
  <c r="B21" i="8"/>
  <c r="D122" i="5"/>
  <c r="D150" i="5"/>
  <c r="D164" i="5"/>
  <c r="D136" i="5"/>
  <c r="D80" i="5"/>
  <c r="C8" i="9"/>
  <c r="B174" i="10" l="1"/>
  <c r="B175" i="10"/>
  <c r="B108" i="10"/>
  <c r="B107" i="10"/>
  <c r="B106" i="10"/>
  <c r="B105" i="10"/>
  <c r="B104" i="10"/>
  <c r="B103" i="10"/>
  <c r="D177" i="5" l="1"/>
  <c r="D261" i="5"/>
  <c r="D262" i="5" s="1"/>
  <c r="D93" i="5"/>
  <c r="D94" i="5" s="1"/>
  <c r="B117" i="10"/>
  <c r="B116" i="10"/>
  <c r="B119" i="10"/>
  <c r="B118" i="10"/>
  <c r="B120" i="10"/>
  <c r="B115" i="10"/>
  <c r="D178" i="5" l="1"/>
  <c r="B24" i="8"/>
  <c r="B22" i="10" l="1"/>
  <c r="B23" i="10"/>
  <c r="B24" i="10"/>
  <c r="B25" i="10"/>
  <c r="B26" i="10"/>
  <c r="B27" i="10"/>
  <c r="B28" i="10"/>
  <c r="B29" i="10"/>
  <c r="B36" i="10"/>
  <c r="B37" i="10"/>
  <c r="B38" i="10"/>
  <c r="B39" i="10"/>
  <c r="B49" i="10"/>
  <c r="B50" i="10"/>
  <c r="B51" i="10"/>
  <c r="B52" i="10"/>
  <c r="B168" i="10"/>
  <c r="B132" i="10" l="1"/>
  <c r="B131" i="10"/>
  <c r="B146" i="10"/>
  <c r="B145" i="10"/>
  <c r="B144" i="10"/>
  <c r="B130" i="10"/>
  <c r="B129" i="10"/>
  <c r="B128" i="10"/>
  <c r="B162" i="10" l="1"/>
  <c r="B163" i="10"/>
  <c r="B160" i="10"/>
  <c r="B161" i="10"/>
  <c r="B159" i="10"/>
  <c r="B158" i="10"/>
  <c r="B157" i="10"/>
  <c r="B156" i="10"/>
  <c r="B182" i="10" l="1"/>
  <c r="B181" i="10"/>
  <c r="B187" i="10"/>
  <c r="H177" i="5"/>
  <c r="H175" i="5"/>
  <c r="H261" i="5"/>
  <c r="H259" i="5"/>
  <c r="B188" i="10"/>
  <c r="B183" i="10"/>
  <c r="B184" i="10"/>
  <c r="B186" i="10"/>
  <c r="B185" i="10"/>
  <c r="C47" i="5" l="1"/>
  <c r="C91" i="5"/>
  <c r="H91" i="5" s="1"/>
  <c r="C93" i="5"/>
  <c r="H93" i="5" s="1"/>
  <c r="C75" i="5"/>
  <c r="H75" i="5" s="1"/>
  <c r="C71" i="5"/>
  <c r="H71" i="5" s="1"/>
  <c r="C63" i="5"/>
  <c r="H63" i="5" s="1"/>
  <c r="C65" i="5"/>
  <c r="H65" i="5" s="1"/>
  <c r="C89" i="5"/>
  <c r="H89" i="5" s="1"/>
  <c r="C77" i="5"/>
  <c r="C79" i="5"/>
  <c r="H79" i="5" s="1"/>
  <c r="C85" i="5"/>
  <c r="C57" i="5"/>
  <c r="H57" i="5" s="1"/>
  <c r="C61" i="5"/>
  <c r="H61" i="5" s="1"/>
  <c r="C49" i="5"/>
  <c r="H49" i="5" s="1"/>
  <c r="C51" i="5"/>
  <c r="H159" i="5"/>
  <c r="H149" i="5"/>
  <c r="H147" i="5"/>
  <c r="H233" i="5"/>
  <c r="H243" i="5"/>
  <c r="H231" i="5"/>
  <c r="H257" i="5"/>
  <c r="H245" i="5"/>
  <c r="H247" i="5"/>
  <c r="H163" i="5"/>
  <c r="H173" i="5"/>
  <c r="H161" i="5"/>
  <c r="H229" i="5"/>
  <c r="H217" i="5"/>
  <c r="H219" i="5"/>
  <c r="H145" i="5"/>
  <c r="C37" i="5"/>
  <c r="H37" i="5" s="1"/>
  <c r="C35" i="5"/>
  <c r="H35" i="5" s="1"/>
  <c r="C43" i="5"/>
  <c r="H121" i="5"/>
  <c r="H215" i="5"/>
  <c r="H47" i="5"/>
  <c r="H51" i="5"/>
  <c r="H66" i="5" l="1"/>
  <c r="H239" i="5"/>
  <c r="H248" i="5" s="1"/>
  <c r="B64" i="9" s="1"/>
  <c r="C248" i="5"/>
  <c r="C178" i="5"/>
  <c r="H169" i="5"/>
  <c r="H178" i="5" s="1"/>
  <c r="B56" i="9" s="1"/>
  <c r="C164" i="5"/>
  <c r="H155" i="5"/>
  <c r="H164" i="5" s="1"/>
  <c r="B55" i="9" s="1"/>
  <c r="C262" i="5"/>
  <c r="H253" i="5"/>
  <c r="H262" i="5" s="1"/>
  <c r="B65" i="9" s="1"/>
  <c r="C150" i="5"/>
  <c r="H141" i="5"/>
  <c r="H150" i="5" s="1"/>
  <c r="H225" i="5"/>
  <c r="H234" i="5" s="1"/>
  <c r="B63" i="9" s="1"/>
  <c r="C234" i="5"/>
  <c r="C136" i="5"/>
  <c r="C122" i="5"/>
  <c r="H119" i="5"/>
  <c r="H122" i="5" s="1"/>
  <c r="B52" i="9" s="1"/>
  <c r="H211" i="5"/>
  <c r="H220" i="5" s="1"/>
  <c r="B62" i="9" s="1"/>
  <c r="C220" i="5"/>
  <c r="H85" i="5"/>
  <c r="H94" i="5" s="1"/>
  <c r="B47" i="9" s="1"/>
  <c r="G7" i="8" s="1"/>
  <c r="C94" i="5"/>
  <c r="H77" i="5"/>
  <c r="H80" i="5" s="1"/>
  <c r="B46" i="9" s="1"/>
  <c r="F7" i="8" s="1"/>
  <c r="C80" i="5"/>
  <c r="H38" i="5"/>
  <c r="B43" i="9" s="1"/>
  <c r="C38" i="5"/>
  <c r="C52" i="5"/>
  <c r="H43" i="5"/>
  <c r="H52" i="5" s="1"/>
  <c r="C66" i="5"/>
  <c r="B61" i="9"/>
  <c r="B66" i="9" l="1"/>
  <c r="B45" i="9"/>
  <c r="E7" i="8" s="1"/>
  <c r="F10" i="8"/>
  <c r="F24" i="8" s="1"/>
  <c r="F21" i="8"/>
  <c r="G10" i="8"/>
  <c r="G24" i="8" s="1"/>
  <c r="G21" i="8"/>
  <c r="C7" i="8"/>
  <c r="B54" i="9"/>
  <c r="B44" i="9"/>
  <c r="B53" i="9"/>
  <c r="B57" i="9" l="1"/>
  <c r="B48" i="9"/>
  <c r="C10" i="8"/>
  <c r="C24" i="8" s="1"/>
  <c r="E10" i="8"/>
  <c r="E24" i="8" s="1"/>
  <c r="E21" i="8"/>
  <c r="C21" i="8"/>
  <c r="D7" i="8"/>
  <c r="D10" i="8" s="1"/>
  <c r="D21" i="8" l="1"/>
  <c r="D24" i="8" l="1"/>
</calcChain>
</file>

<file path=xl/sharedStrings.xml><?xml version="1.0" encoding="utf-8"?>
<sst xmlns="http://schemas.openxmlformats.org/spreadsheetml/2006/main" count="609" uniqueCount="199">
  <si>
    <t>Cap-and-Invest Program Allowance Auction Revenue Forecast - Summary</t>
  </si>
  <si>
    <t>Purpose: Provide the forecasted cap-and-invest program allowance auction revenue estimates by fiscal year and account, as well as a comparison to the previous revenue estimates. These tables are included in Ecology's December 2024 Cap-and-Invest Program Allowance Auction Revenue Forecast Summary.</t>
  </si>
  <si>
    <t>Current - December 2024</t>
  </si>
  <si>
    <t>$ in thousands</t>
  </si>
  <si>
    <r>
      <t xml:space="preserve">FY24 </t>
    </r>
    <r>
      <rPr>
        <vertAlign val="superscript"/>
        <sz val="11"/>
        <color theme="1"/>
        <rFont val="Calibri"/>
        <family val="2"/>
        <scheme val="minor"/>
      </rPr>
      <t>1</t>
    </r>
  </si>
  <si>
    <t>FY25</t>
  </si>
  <si>
    <t>FY26</t>
  </si>
  <si>
    <t>FY27</t>
  </si>
  <si>
    <t>FY28</t>
  </si>
  <si>
    <t>FY29</t>
  </si>
  <si>
    <t>Total Auction Revenue</t>
  </si>
  <si>
    <r>
      <t xml:space="preserve">26A - CERA </t>
    </r>
    <r>
      <rPr>
        <vertAlign val="superscript"/>
        <sz val="11"/>
        <color rgb="FF000000"/>
        <rFont val="Calibri"/>
        <family val="2"/>
      </rPr>
      <t>2</t>
    </r>
  </si>
  <si>
    <r>
      <t xml:space="preserve">26E - AQHDIA </t>
    </r>
    <r>
      <rPr>
        <vertAlign val="superscript"/>
        <sz val="11"/>
        <color rgb="FF000000"/>
        <rFont val="Calibri"/>
        <family val="2"/>
      </rPr>
      <t>3</t>
    </r>
  </si>
  <si>
    <r>
      <t xml:space="preserve">26B - ClA </t>
    </r>
    <r>
      <rPr>
        <vertAlign val="superscript"/>
        <sz val="11"/>
        <color rgb="FF000000"/>
        <rFont val="Calibri"/>
        <family val="2"/>
      </rPr>
      <t>4</t>
    </r>
  </si>
  <si>
    <t>Previous - June 2024</t>
  </si>
  <si>
    <t>Change - June 2024 to December 2024</t>
  </si>
  <si>
    <r>
      <rPr>
        <vertAlign val="superscript"/>
        <sz val="9"/>
        <color rgb="FF000000"/>
        <rFont val="Calibri"/>
        <family val="2"/>
      </rPr>
      <t>1</t>
    </r>
    <r>
      <rPr>
        <sz val="9"/>
        <color rgb="FF000000"/>
        <rFont val="Calibri"/>
        <family val="2"/>
      </rPr>
      <t xml:space="preserve"> Reflects actual revenue collections for completed auctions during fiscal year 2024.</t>
    </r>
  </si>
  <si>
    <r>
      <rPr>
        <vertAlign val="superscript"/>
        <sz val="9"/>
        <color theme="1"/>
        <rFont val="Calibri"/>
        <family val="2"/>
        <scheme val="minor"/>
      </rPr>
      <t xml:space="preserve">2 </t>
    </r>
    <r>
      <rPr>
        <sz val="9"/>
        <color theme="1"/>
        <rFont val="Calibri"/>
        <family val="2"/>
        <scheme val="minor"/>
      </rPr>
      <t>Annually, beginning July 1, 2023, the State Treasurer will transfer 24% of the revenues in Carbon Emissions Reduction Account (CERA) to the Climate Active Transportation Account (Fund 26M) per RCW 46.68.490, and 56% to the Climate Transit Programs Account (Fund 26N) per RCW 46.68.500. State Treasurer transfers are not reflected in the revenue estimates above (revenue is shown in CERA).</t>
    </r>
  </si>
  <si>
    <r>
      <t>3</t>
    </r>
    <r>
      <rPr>
        <sz val="9"/>
        <color theme="1"/>
        <rFont val="Calibri"/>
        <family val="2"/>
        <scheme val="minor"/>
      </rPr>
      <t xml:space="preserve"> FY26-FY29 amounts based on legislative intent in RCW 70A.65.280(3) that no less than $20 million per biennia be dedicated to AQHDIA for the purposes of the account</t>
    </r>
  </si>
  <si>
    <r>
      <rPr>
        <vertAlign val="superscript"/>
        <sz val="9"/>
        <color theme="1"/>
        <rFont val="Calibri"/>
        <family val="2"/>
        <scheme val="minor"/>
      </rPr>
      <t xml:space="preserve">4 </t>
    </r>
    <r>
      <rPr>
        <sz val="9"/>
        <color theme="1"/>
        <rFont val="Calibri"/>
        <family val="2"/>
        <scheme val="minor"/>
      </rPr>
      <t>Annually, beginning July 1, 2023, the State Treasurer will transfer revenues available in the Climate Investment Account (CIA) that are not already appropriated in the account to administer the program. Per RCW 70A.65.250, 75% will be transferred to the Climate Commitment Account (Fund 26C) and 25% will be transferred to the Natural Climate Solutions Account (Fund 26D). State Treasurer transfers are not reflected in the revenue estimates above (revenue is shown in CIA).</t>
    </r>
  </si>
  <si>
    <t>Cap-and-Invest Program Allowance Auction Revenue Forecast - Allowance Price Tables</t>
  </si>
  <si>
    <t xml:space="preserve">Purpose: Provide excel backup for allowance price-related tables included in Ecology's December 2024 Cap-and-Invest Program Allowance Auction Revenue Forecast Summary. </t>
  </si>
  <si>
    <r>
      <t>Table 1: Official (Baseline) Revenue Forecast: Average of Low and High Scenarios</t>
    </r>
    <r>
      <rPr>
        <sz val="11"/>
        <color rgb="FF000000"/>
        <rFont val="Calibri"/>
        <family val="2"/>
      </rPr>
      <t> </t>
    </r>
  </si>
  <si>
    <t>Auction Name</t>
  </si>
  <si>
    <t>Current Vintage Price</t>
  </si>
  <si>
    <t>Future Vintage Price</t>
  </si>
  <si>
    <t>CA/QC Joint Average</t>
  </si>
  <si>
    <t>WA Average</t>
  </si>
  <si>
    <t>Average for Current Forecast</t>
  </si>
  <si>
    <r>
      <t>Table 2: Low Bounding Scenario: California/Québec Price Average</t>
    </r>
    <r>
      <rPr>
        <sz val="11"/>
        <rFont val="Calibri"/>
        <family val="2"/>
      </rPr>
      <t>  </t>
    </r>
  </si>
  <si>
    <t>February 2024 Joint Auction #38</t>
  </si>
  <si>
    <t>May 2024 Joint Auction #39</t>
  </si>
  <si>
    <t>August 2024 Joint Auction #40</t>
  </si>
  <si>
    <t>November 2024 Joint Auction #41</t>
  </si>
  <si>
    <t>Source: Summary of California Auction Settlement Prices and Results (ca.gov)</t>
  </si>
  <si>
    <t xml:space="preserve">Table 3: High Bounding Scenario: Washington Price Average  </t>
  </si>
  <si>
    <t>December 2024 Auction #8</t>
  </si>
  <si>
    <r>
      <rPr>
        <sz val="11"/>
        <color rgb="FF000000"/>
        <rFont val="Calibri"/>
        <scheme val="minor"/>
      </rPr>
      <t xml:space="preserve">March 2025 Auction #9 </t>
    </r>
    <r>
      <rPr>
        <i/>
        <sz val="11"/>
        <color rgb="FF000000"/>
        <rFont val="Calibri"/>
        <scheme val="minor"/>
      </rPr>
      <t>(estimate)</t>
    </r>
  </si>
  <si>
    <r>
      <rPr>
        <sz val="11"/>
        <color rgb="FF000000"/>
        <rFont val="Calibri"/>
        <scheme val="minor"/>
      </rPr>
      <t xml:space="preserve">June 2025 Auction #10 </t>
    </r>
    <r>
      <rPr>
        <i/>
        <sz val="11"/>
        <color rgb="FF000000"/>
        <rFont val="Calibri"/>
        <scheme val="minor"/>
      </rPr>
      <t>(estimate)</t>
    </r>
  </si>
  <si>
    <r>
      <rPr>
        <sz val="11"/>
        <color rgb="FF000000"/>
        <rFont val="Calibri"/>
        <scheme val="minor"/>
      </rPr>
      <t xml:space="preserve">September 2025 Auction #11 </t>
    </r>
    <r>
      <rPr>
        <i/>
        <sz val="11"/>
        <color rgb="FF000000"/>
        <rFont val="Calibri"/>
        <scheme val="minor"/>
      </rPr>
      <t>(estimate)</t>
    </r>
  </si>
  <si>
    <t xml:space="preserve">Source: Auctions and market website - Washington State Department of Ecology. </t>
  </si>
  <si>
    <t>Estimates for 2025 auctions based on secondary market futures contracts as of 12/13/24.</t>
  </si>
  <si>
    <r>
      <rPr>
        <b/>
        <sz val="11"/>
        <color rgb="FF000000"/>
        <rFont val="Calibri"/>
        <family val="2"/>
      </rPr>
      <t>Table 4: Annual Inflation Factor by Calendar Year</t>
    </r>
    <r>
      <rPr>
        <sz val="11"/>
        <color rgb="FF000000"/>
        <rFont val="Calibri"/>
        <family val="2"/>
      </rPr>
      <t> </t>
    </r>
  </si>
  <si>
    <t>Calendar Year</t>
  </si>
  <si>
    <t>Annual U.S. Consumer Price Index</t>
  </si>
  <si>
    <r>
      <t>Table 5: Official (Baseline) Revenue Forecast: Midpoint of CA/QC and WA Price Average</t>
    </r>
    <r>
      <rPr>
        <sz val="11"/>
        <color rgb="FF000000"/>
        <rFont val="Calibri"/>
        <family val="2"/>
      </rPr>
      <t> </t>
    </r>
  </si>
  <si>
    <t>Fiscal Year</t>
  </si>
  <si>
    <t>Forecasted Proceeds</t>
  </si>
  <si>
    <t>Grand Total (FY25 to FY29)</t>
  </si>
  <si>
    <r>
      <t>Table 6: Low Bounding Scenario: California/Québec Price Average</t>
    </r>
    <r>
      <rPr>
        <sz val="11"/>
        <color rgb="FF000000"/>
        <rFont val="Calibri"/>
        <family val="2"/>
      </rPr>
      <t>  </t>
    </r>
  </si>
  <si>
    <r>
      <t>Table 7: High Bounding Scenario: Washington Price Average</t>
    </r>
    <r>
      <rPr>
        <sz val="11"/>
        <color rgb="FF000000"/>
        <rFont val="Calibri"/>
        <family val="2"/>
      </rPr>
      <t>  </t>
    </r>
  </si>
  <si>
    <t xml:space="preserve">Cap-and-Invest Program Allowance Auction December 2024 Revenue Forecast - Appendix A - Supply Tables </t>
  </si>
  <si>
    <t xml:space="preserve">Purpose: Provide Excel backup for allowance supply-related tables included in Ecology's November 2024 Cap-and-Invest Program Allowance Auction Revenue Forecast Summary. </t>
  </si>
  <si>
    <t xml:space="preserve">Table 8: Total Allowance Supply </t>
  </si>
  <si>
    <t xml:space="preserve">CY
</t>
  </si>
  <si>
    <t>CP1 Scope Total Allowances 
(MT CO2e)</t>
  </si>
  <si>
    <r>
      <t xml:space="preserve">Source: </t>
    </r>
    <r>
      <rPr>
        <sz val="9"/>
        <color theme="1"/>
        <rFont val="Calibri"/>
        <family val="2"/>
        <scheme val="minor"/>
      </rPr>
      <t xml:space="preserve">Total program allowance budgets </t>
    </r>
    <r>
      <rPr>
        <sz val="9"/>
        <rFont val="Calibri"/>
        <family val="2"/>
        <scheme val="minor"/>
      </rPr>
      <t>(WAC 173-446-210</t>
    </r>
    <r>
      <rPr>
        <sz val="9"/>
        <color theme="1"/>
        <rFont val="Calibri"/>
        <family val="2"/>
        <scheme val="minor"/>
      </rPr>
      <t>) and program applicability</t>
    </r>
    <r>
      <rPr>
        <sz val="9"/>
        <rFont val="Calibri"/>
        <family val="2"/>
        <scheme val="minor"/>
      </rPr>
      <t xml:space="preserve"> (WAC 173-446-030</t>
    </r>
    <r>
      <rPr>
        <sz val="9"/>
        <color theme="1"/>
        <rFont val="Calibri"/>
        <family val="2"/>
        <scheme val="minor"/>
      </rPr>
      <t>). </t>
    </r>
  </si>
  <si>
    <t>Table 9: Allowance Price Containment Reserve (APCR) Allowances</t>
  </si>
  <si>
    <t xml:space="preserve"> Allowances</t>
  </si>
  <si>
    <r>
      <rPr>
        <b/>
        <sz val="9"/>
        <rFont val="Calibri"/>
        <family val="2"/>
        <scheme val="minor"/>
      </rPr>
      <t>Source:</t>
    </r>
    <r>
      <rPr>
        <sz val="9"/>
        <rFont val="Calibri"/>
        <family val="2"/>
        <scheme val="minor"/>
      </rPr>
      <t xml:space="preserve"> Ecology placed 5% of the total allowance supply (Table 8) into the APCR at the beginning of the program in January 2023. These allowances are available at APCR auctions. For APCR auctions triggered by 2025 quarterly auction prices, the trigger price for the APCR is $60.43 (WAC 173-446-370). </t>
    </r>
  </si>
  <si>
    <r>
      <rPr>
        <b/>
        <sz val="9"/>
        <rFont val="Calibri"/>
        <family val="2"/>
        <scheme val="minor"/>
      </rPr>
      <t>APCR Assumption:</t>
    </r>
    <r>
      <rPr>
        <sz val="9"/>
        <rFont val="Calibri"/>
        <family val="2"/>
        <scheme val="minor"/>
      </rPr>
      <t xml:space="preserve"> Under all scenarios in 2025 and forward, the APCR trigger price is not met by forecasted quarterly auction current vintage allowance settlement prices. Two APCR auctions were triggered in 2023, and 6,054,000 allowances sold, and one APCR auction was held prior to the 2024 compliance deadline, selling 1,022,000 APCR allowances .* </t>
    </r>
  </si>
  <si>
    <t>*Matches the updated APCR auction supply guidance through 2026 (govdelivery.com)</t>
  </si>
  <si>
    <t>Table 10: Emissions Containment Reserve (ECR) Allowances</t>
  </si>
  <si>
    <t>Allowances</t>
  </si>
  <si>
    <r>
      <rPr>
        <b/>
        <sz val="9"/>
        <color rgb="FF000000"/>
        <rFont val="Calibri"/>
        <family val="2"/>
        <scheme val="minor"/>
      </rPr>
      <t xml:space="preserve">Source: </t>
    </r>
    <r>
      <rPr>
        <sz val="9"/>
        <color rgb="FF000000"/>
        <rFont val="Calibri"/>
        <family val="2"/>
        <scheme val="minor"/>
      </rPr>
      <t xml:space="preserve">Ecology reserved 2% of the total allowance supply (Table 8) for the first compliance period—2023 through 2026—into the emissions containment reserve (ECR) consistent with WAC 173-446-375. Ecology did not place any allowances from the second compliance period into the ECR. </t>
    </r>
  </si>
  <si>
    <r>
      <rPr>
        <b/>
        <sz val="9"/>
        <color theme="1"/>
        <rFont val="Calibri"/>
        <family val="2"/>
        <scheme val="minor"/>
      </rPr>
      <t xml:space="preserve">ECR Assumption: </t>
    </r>
    <r>
      <rPr>
        <sz val="9"/>
        <color theme="1"/>
        <rFont val="Calibri"/>
        <family val="2"/>
        <scheme val="minor"/>
      </rPr>
      <t xml:space="preserve">ECR allowances are unavailable for auction unless certain conditions are met—the expansion of existing facilities, or entry of new covered participants in the program. For purposes of this forecast, Ecology conservatively assumes the conditions </t>
    </r>
    <r>
      <rPr>
        <i/>
        <sz val="9"/>
        <color theme="1"/>
        <rFont val="Calibri"/>
        <family val="2"/>
        <scheme val="minor"/>
      </rPr>
      <t>will not be met</t>
    </r>
    <r>
      <rPr>
        <sz val="9"/>
        <color theme="1"/>
        <rFont val="Calibri"/>
        <family val="2"/>
        <scheme val="minor"/>
      </rPr>
      <t xml:space="preserve">, and therefore assumes ECR auctions will not occur. </t>
    </r>
  </si>
  <si>
    <t>Table 11: Voluntary Renewable Energy (VRE) Account Allowances </t>
  </si>
  <si>
    <r>
      <rPr>
        <b/>
        <sz val="9"/>
        <color rgb="FF000000"/>
        <rFont val="Calibri"/>
        <family val="2"/>
      </rPr>
      <t xml:space="preserve">Source: </t>
    </r>
    <r>
      <rPr>
        <sz val="9"/>
        <color rgb="FF000000"/>
        <rFont val="Calibri"/>
        <family val="2"/>
      </rPr>
      <t xml:space="preserve">Ecology reserved 0.33% of the total allowance supply (Table 8) for the first compliance period—2023 through 2026—in the Voluntary Renewable Energy account (VRE) consistent with WAC 173-446-230(3). Ecology did not place any allowances from the second compliance period into the VRE. The VRE is intended to retire allowances in proportion to voluntary renewable energy credits purchased over and above existing requirements. </t>
    </r>
  </si>
  <si>
    <r>
      <rPr>
        <b/>
        <sz val="9"/>
        <color theme="1"/>
        <rFont val="Calibri"/>
        <family val="2"/>
        <scheme val="minor"/>
      </rPr>
      <t xml:space="preserve">Rationale for excluding from auction total: </t>
    </r>
    <r>
      <rPr>
        <sz val="9"/>
        <color theme="1"/>
        <rFont val="Calibri"/>
        <family val="2"/>
        <scheme val="minor"/>
      </rPr>
      <t xml:space="preserve">Because VRE allowances will be directly retired rather than sold at auction, the VRE is deducted from the volume of allowances estimated for auction. WAC 173-446-230(3). </t>
    </r>
  </si>
  <si>
    <t>Table 12: Emissions Intensive, Trade Exposed (EITE) Allowances</t>
  </si>
  <si>
    <r>
      <rPr>
        <b/>
        <sz val="9"/>
        <rFont val="Calibri"/>
        <family val="2"/>
        <scheme val="minor"/>
      </rPr>
      <t>Source:</t>
    </r>
    <r>
      <rPr>
        <sz val="9"/>
        <rFont val="Calibri"/>
        <family val="2"/>
        <scheme val="minor"/>
      </rPr>
      <t xml:space="preserve"> Initial EITE allocation for 2023 EITE production (Allowance Allocation to Emissions-Intensive, Trade-Exposed Industries for the First Compliance Period). </t>
    </r>
  </si>
  <si>
    <r>
      <rPr>
        <b/>
        <sz val="9"/>
        <rFont val="Calibri"/>
        <family val="2"/>
        <scheme val="minor"/>
      </rPr>
      <t xml:space="preserve">Assumptions: </t>
    </r>
    <r>
      <rPr>
        <sz val="9"/>
        <rFont val="Calibri"/>
        <family val="2"/>
        <scheme val="minor"/>
      </rPr>
      <t>EITE industrial allowance allocation is intended to protect against emissions leakage, or the relocation of Washington State businesses to other locations without carbon regulations. Washington State allocates allowances to EITEs primarily through an allocation that scales with production, i.e., if production goes up then allocation goes up, and if production goes down then allocation declines as well. CY 2024 allocation reflects a revision to the estimated production in 2023. 2025 value reflects the latest allocation, as of 10/24/24, including "true-up". The 2026 value is based on the average of 2024 and 2025. Starting with the second compliance period, in 2027, EITE allocation is reduced by 3% consistent with WAC 173-446-220(2)(a).</t>
    </r>
  </si>
  <si>
    <t>Table 13: Electric Utility Allowances</t>
  </si>
  <si>
    <t xml:space="preserve">  Allowances </t>
  </si>
  <si>
    <t>Source: Allowance Allocation to Electric Utilities for the First Compliance Period (Revised). </t>
  </si>
  <si>
    <r>
      <rPr>
        <b/>
        <sz val="9"/>
        <rFont val="Calibri"/>
        <family val="2"/>
        <scheme val="minor"/>
      </rPr>
      <t xml:space="preserve">Assumption: </t>
    </r>
    <r>
      <rPr>
        <sz val="9"/>
        <rFont val="Calibri"/>
        <family val="2"/>
        <scheme val="minor"/>
      </rPr>
      <t>Electric Utilities are allocated allowances consistent with WAC 173-446-230. The allowance allocation in Table 13 equals allowance allocation transferred for 2023 and 2024 allocation, and forecasted allowance allocation for 2025 and 2026. Electric utility allocation is phased out over time as the Clean Energy Transformation Act decarbonizes the electric sector. Because there are no forecasts for 2027 allocation at this time, and no set reduction schedule for electric utilities, allocation projections may be substantially adjusted in future years.</t>
    </r>
  </si>
  <si>
    <t>Table 14: Natural Gas Allowances</t>
  </si>
  <si>
    <r>
      <rPr>
        <b/>
        <sz val="9"/>
        <rFont val="Calibri"/>
        <family val="2"/>
        <scheme val="minor"/>
      </rPr>
      <t xml:space="preserve">Source: </t>
    </r>
    <r>
      <rPr>
        <sz val="9"/>
        <rFont val="Calibri"/>
        <family val="2"/>
        <scheme val="minor"/>
      </rPr>
      <t>Allowance Allocation to Natural Gas Utilities. </t>
    </r>
  </si>
  <si>
    <r>
      <rPr>
        <b/>
        <sz val="9"/>
        <color theme="1"/>
        <rFont val="Calibri"/>
        <family val="2"/>
        <scheme val="minor"/>
      </rPr>
      <t xml:space="preserve">Assumption: </t>
    </r>
    <r>
      <rPr>
        <sz val="9"/>
        <color theme="1"/>
        <rFont val="Calibri"/>
        <family val="2"/>
        <scheme val="minor"/>
      </rPr>
      <t>The Climate Commitment Act requires that the Department of Ecology provide allowances at no cost to eligible natural gas utilities. This requirement is designed to help protect consumers from potential rate increases that could result from utilities’ participation in the cap-and-invest program. Natural gas allowance allocation is calculated using a 2015-2019 ‘baseline’ of natural gas emissions. The utilities were allocated 93% of the baseline in 2023 (7% less than the full baseline), with allocation declining by an additional 7% each year thereafter. WAC 173-446-240.</t>
    </r>
  </si>
  <si>
    <t xml:space="preserve">Table 14A: Natural Gas Allowances Held for Compliance </t>
  </si>
  <si>
    <t>CY</t>
  </si>
  <si>
    <t xml:space="preserve">Allowances </t>
  </si>
  <si>
    <r>
      <rPr>
        <b/>
        <sz val="9"/>
        <color rgb="FF000000"/>
        <rFont val="Calibri"/>
        <family val="2"/>
      </rPr>
      <t xml:space="preserve">Assumption: </t>
    </r>
    <r>
      <rPr>
        <sz val="9"/>
        <color rgb="FF000000"/>
        <rFont val="Calibri"/>
        <family val="2"/>
      </rPr>
      <t>Natural Gas utilities have required minimum consignment for each year, starting with 65% of allocation in 2023, 70% in 2024, 75% in 2025 and so on until 100% consignment in 2030. They may choose at any time to consign up to 100% of allowances to auction (WAC 173-446-300(2)(b)(ii)(A)), though Ecology's forecast assumes that all allowances not required to be sent to auction are retained for compliance. The total value held for compliance is assumed to be Allocation minus required consignment (Table 14 minus Table 14B).</t>
    </r>
  </si>
  <si>
    <t xml:space="preserve">Table 14B: Natural Gas Allowances Consigned (sold) at Auction </t>
  </si>
  <si>
    <r>
      <rPr>
        <b/>
        <sz val="9"/>
        <color rgb="FF000000"/>
        <rFont val="Calibri"/>
        <family val="2"/>
      </rPr>
      <t xml:space="preserve">Assumption: </t>
    </r>
    <r>
      <rPr>
        <sz val="9"/>
        <color rgb="FF000000"/>
        <rFont val="Calibri"/>
        <family val="2"/>
      </rPr>
      <t>Natural Gas utilities have required minimum consignment for each year, starting with 65% of allocation (see Table 14) in 2023, 70% in 2024, 75% in 2025, and so on. They may choose at any time to consign up to 100% of allowances to auction (WAC 173-446-300(2)(b)(ii)(A)).</t>
    </r>
  </si>
  <si>
    <r>
      <t>Table 15: Offset Usage</t>
    </r>
    <r>
      <rPr>
        <sz val="11"/>
        <color theme="1"/>
        <rFont val="Calibri"/>
        <family val="2"/>
        <scheme val="minor"/>
      </rPr>
      <t> </t>
    </r>
  </si>
  <si>
    <t xml:space="preserve">CY 
</t>
  </si>
  <si>
    <t>Offset Usage</t>
  </si>
  <si>
    <r>
      <rPr>
        <b/>
        <sz val="9"/>
        <color theme="1"/>
        <rFont val="Calibri"/>
        <family val="2"/>
        <scheme val="minor"/>
      </rPr>
      <t xml:space="preserve">Assumption: </t>
    </r>
    <r>
      <rPr>
        <sz val="9"/>
        <color theme="1"/>
        <rFont val="Calibri"/>
        <family val="2"/>
        <scheme val="minor"/>
      </rPr>
      <t>Offsets are important to calculate auction allowance supply because offsets are "under the cap", i.e., offsets used to meet compliance obligations. </t>
    </r>
  </si>
  <si>
    <t>Because offset usage is under the cap, the allowance budget is reduced by the number of offsets used in each compliance event for two years’ prior emissions obligation. E.g., entities used 26,280 offsets for compliance at first annual compliance event on 11/1/24. That number is subtracted from the 2025 allowance budget, reducing the state-owned allowances eligible to be auctioned by 26,280. At the 2025 compliance event, actual offset usage will be known, and the 2026 budget will be reduced by that amount.</t>
  </si>
  <si>
    <t>The offset totals are 3% of the emissions budget that represents sectors assumed to want to purchase offsets. This is based on the total program allowance budget (Table 8), reduced by the following allowance accounts and allocation totals that represent sectors and emissions that have a compliance obligation primarily met through no cost allowance allocation: </t>
  </si>
  <si>
    <r>
      <rPr>
        <sz val="9"/>
        <color theme="1"/>
        <rFont val="Calibri"/>
        <family val="2"/>
      </rPr>
      <t xml:space="preserve"> • </t>
    </r>
    <r>
      <rPr>
        <sz val="9"/>
        <color theme="1"/>
        <rFont val="Calibri"/>
        <family val="2"/>
        <scheme val="minor"/>
      </rPr>
      <t>The Allowance Price Containment Reserve (Table 9), which represents 5% of the annual allowance budget for each calendar year through 2030.</t>
    </r>
  </si>
  <si>
    <r>
      <rPr>
        <sz val="9"/>
        <color theme="1"/>
        <rFont val="Calibri"/>
        <family val="2"/>
      </rPr>
      <t xml:space="preserve"> • </t>
    </r>
    <r>
      <rPr>
        <sz val="9"/>
        <color theme="1"/>
        <rFont val="Calibri"/>
        <family val="2"/>
        <scheme val="minor"/>
      </rPr>
      <t>The Emissions Containment Reserve (Table 10) is conservatively assumed to be withheld because entities do not trigger ECR allowance allocation or ECR auctions. Under this assumption, ECR allowances do not represent emissions obligations. </t>
    </r>
  </si>
  <si>
    <r>
      <rPr>
        <sz val="9"/>
        <color theme="1"/>
        <rFont val="Calibri"/>
        <family val="2"/>
      </rPr>
      <t xml:space="preserve"> • </t>
    </r>
    <r>
      <rPr>
        <sz val="9"/>
        <color theme="1"/>
        <rFont val="Calibri"/>
        <family val="2"/>
        <scheme val="minor"/>
      </rPr>
      <t>The VRE account (Table 11) is assumed to be used directly for compliance and does not represent emissions obligations within the program. </t>
    </r>
  </si>
  <si>
    <r>
      <rPr>
        <sz val="9"/>
        <color theme="1"/>
        <rFont val="Calibri"/>
        <family val="2"/>
      </rPr>
      <t xml:space="preserve"> • </t>
    </r>
    <r>
      <rPr>
        <sz val="9"/>
        <color theme="1"/>
        <rFont val="Calibri"/>
        <family val="2"/>
        <scheme val="minor"/>
      </rPr>
      <t>The industrial EITE sector (Table 12) is assumed to receive allowance allocation equal to emissions obligation for the first four years of the program, and does not use offsets to meet its compliance obligations. </t>
    </r>
  </si>
  <si>
    <t xml:space="preserve">  • The electric sector (Table 13) is assumed to receive allowance allocation equal to its compliance obligation and does not use offsets to meet its compliance obligations. </t>
  </si>
  <si>
    <t>Table 15A: Total Current Vintage After Non-Consigned Free Allowances, Reserves and Direct Allocation</t>
  </si>
  <si>
    <r>
      <rPr>
        <b/>
        <sz val="9"/>
        <rFont val="Calibri"/>
        <family val="2"/>
      </rPr>
      <t>Note</t>
    </r>
    <r>
      <rPr>
        <sz val="9"/>
        <rFont val="Calibri"/>
        <family val="2"/>
      </rPr>
      <t>: Table 15A represents the supply of allowances available for auction starting with total annual budgets defined in rule and then subtracting allowances deposited into reserve accounts, allowances freely allocated to EITEs and Electricity Utilities, and held for compliance by natural gas utilities. The values in Table 15 are subtracted from Table 15A to determine total allowances available for current vintage auctions each year (Table 15B). The drop in 2026 and later years is partially the result of the sale of future vintage allowances in earlier years.</t>
    </r>
  </si>
  <si>
    <t>Table 15B: Allowances to Current Vintage Auction, Net of Offsets Under the Cap</t>
  </si>
  <si>
    <r>
      <rPr>
        <b/>
        <sz val="9"/>
        <color rgb="FF444444"/>
        <rFont val="Calibri"/>
        <family val="2"/>
      </rPr>
      <t>Note</t>
    </r>
    <r>
      <rPr>
        <sz val="9"/>
        <color rgb="FF444444"/>
        <rFont val="Calibri"/>
        <family val="2"/>
      </rPr>
      <t>: Table 15B is the difference between Table 15A and Table 15, representing the total allowances available for current vintage auction each year, after accounting for the actual or anticipated use of offsets, which are "under the cap," starting in 2025.</t>
    </r>
  </si>
  <si>
    <r>
      <rPr>
        <b/>
        <sz val="11"/>
        <color rgb="FF000000"/>
        <rFont val="Calibri"/>
      </rPr>
      <t>Table 16: State-Owned Future Vintage Auctioned Allowances</t>
    </r>
    <r>
      <rPr>
        <sz val="11"/>
        <color rgb="FF000000"/>
        <rFont val="Calibri"/>
      </rPr>
      <t> </t>
    </r>
  </si>
  <si>
    <r>
      <rPr>
        <b/>
        <sz val="10"/>
        <color theme="1"/>
        <rFont val="Calibri"/>
        <family val="2"/>
        <scheme val="minor"/>
      </rPr>
      <t xml:space="preserve">Source: </t>
    </r>
    <r>
      <rPr>
        <sz val="10"/>
        <color theme="1"/>
        <rFont val="Calibri"/>
        <family val="2"/>
        <scheme val="minor"/>
      </rPr>
      <t xml:space="preserve">Ecology auctions 10% of the total allowance budget (Table 8) each year per WAC 173-446-365. </t>
    </r>
  </si>
  <si>
    <r>
      <rPr>
        <b/>
        <sz val="10"/>
        <color theme="1"/>
        <rFont val="Calibri"/>
        <family val="2"/>
        <scheme val="minor"/>
      </rPr>
      <t>Assumptions</t>
    </r>
    <r>
      <rPr>
        <sz val="10"/>
        <color theme="1"/>
        <rFont val="Calibri"/>
        <family val="2"/>
        <scheme val="minor"/>
      </rPr>
      <t>: Future vintage allowances are taken from the allowance budget three years in the future. E.g., 4,899,760 allowances are 10% of the 2026 budget (48,997,598 allowances) not 10% of the 2023 budget (63,288,565 allowances). For CY 2024 the value includes a combination of actual and forecasted future allowances sold, a reduction of 906,142 from the previous forecast (4,445,974). 1,317,000 of the possible 2,200,000 vintage 2027 allowances were sold in Auction 6. The November 2023 forecast estimated that 2,222,987 would be offered and sold. The unsold 2027 vintage allowances are added to the CY2027 current vintage allowance supply (Table 17) to be offered next in 2027. The rest of the tables assume all future vintage allowances offered will be sold.</t>
    </r>
  </si>
  <si>
    <r>
      <rPr>
        <b/>
        <sz val="11"/>
        <color rgb="FF000000"/>
        <rFont val="Calibri"/>
      </rPr>
      <t>Table 17: State-Owned Current Vintage Auctioned Allowances</t>
    </r>
    <r>
      <rPr>
        <sz val="11"/>
        <color rgb="FF000000"/>
        <rFont val="Calibri"/>
      </rPr>
      <t> </t>
    </r>
  </si>
  <si>
    <r>
      <rPr>
        <b/>
        <sz val="10"/>
        <color theme="1"/>
        <rFont val="Calibri"/>
        <family val="2"/>
        <scheme val="minor"/>
      </rPr>
      <t xml:space="preserve">Assumption: </t>
    </r>
    <r>
      <rPr>
        <sz val="10"/>
        <color theme="1"/>
        <rFont val="Calibri"/>
        <family val="2"/>
        <scheme val="minor"/>
      </rPr>
      <t>These allowance totals are equal to the total allowance budget (Table 8) reduced by all the other allowance totals in Tables 9 through 15B. Starting with calendar year 2026, the allowance totals are further reduced by future vintage auctions of allowances (Table 16) from the 2026 allowance budget that occurred in calendar year 2023. See the assumptions in Table 16.</t>
    </r>
  </si>
  <si>
    <t>Cap-and-Invest Program Allowance Auction December 2024 Revenue Forecast - Appendix B - By Auction Detail</t>
  </si>
  <si>
    <t xml:space="preserve">Purpose: Provide excel backup for the by auction summary tables included in Ecology's December 2024 Cap-and-Invest Program Allowance Auction Revenue Forecast Summary. 
</t>
  </si>
  <si>
    <r>
      <rPr>
        <b/>
        <sz val="11"/>
        <color theme="1"/>
        <rFont val="Calibri"/>
        <family val="2"/>
        <scheme val="minor"/>
      </rPr>
      <t>Note:</t>
    </r>
    <r>
      <rPr>
        <sz val="11"/>
        <color theme="1"/>
        <rFont val="Calibri"/>
        <family val="2"/>
        <scheme val="minor"/>
      </rPr>
      <t xml:space="preserve"> Future auction proceed estimates are rounded to the nearest thousand. </t>
    </r>
  </si>
  <si>
    <t xml:space="preserve">The following tables are an event-by-event breakdown of each fiscal year for each of the three scenarios. The dates listed for each year are subject to change, and only made official each December when Ecology releases a list of anticipated auction dates for the following calendar year events. While current auctions will be held quarterly, specific dates are included to provide some indication of when in the fiscal year those events occur and when funds would be received by the state (roughly 4 weeks post-auction). Ecology offers the entire supply of current vintage allowances across four quarterly auctions in a calendar year. </t>
  </si>
  <si>
    <t>The first column contains abbreviations for individual auction event types. These are:</t>
  </si>
  <si>
    <t xml:space="preserve">· </t>
  </si>
  <si>
    <t>A #_: This is an abbreviation for a regularly scheduled quarterly auction. If the auction has allowances in the future vintage column, then it is an auction with both current and future vintage supply. Quarterly Auction #1 and #2 occured in FY 2023.</t>
  </si>
  <si>
    <t>APCR: These are Allowance Price Containment Reserve (APCR) Auctions.</t>
  </si>
  <si>
    <r>
      <t>APCR X</t>
    </r>
    <r>
      <rPr>
        <i/>
        <sz val="11"/>
        <color theme="1"/>
        <rFont val="Calibri"/>
        <family val="2"/>
        <scheme val="minor"/>
      </rPr>
      <t>YY</t>
    </r>
    <r>
      <rPr>
        <sz val="11"/>
        <color theme="1"/>
        <rFont val="Calibri"/>
        <family val="2"/>
        <scheme val="minor"/>
      </rPr>
      <t>: APCR Auctions offered prior to the annual (YY) compliance deadline</t>
    </r>
  </si>
  <si>
    <t>ECR: Emissions containment reserve auctions. Ecology assumes that no ECR auctions will be held for purposes of this forecast. If this changes in future forecasts, ECR allowance totals would be included in the ‘Current Vintage’ column.</t>
  </si>
  <si>
    <t>Baseline Forecast: Average of Low and High Bounding Scenarios  </t>
  </si>
  <si>
    <t>2024 Detailed View (Actual FY 2024)</t>
  </si>
  <si>
    <r>
      <t>Event Name</t>
    </r>
    <r>
      <rPr>
        <sz val="10"/>
        <color rgb="FFFFFFFF"/>
        <rFont val="Calibri"/>
        <family val="2"/>
      </rPr>
      <t> </t>
    </r>
  </si>
  <si>
    <r>
      <rPr>
        <b/>
        <sz val="10"/>
        <color rgb="FFFFFFFF"/>
        <rFont val="Calibri"/>
        <family val="2"/>
      </rPr>
      <t>Fiscal Year 2024</t>
    </r>
    <r>
      <rPr>
        <sz val="10"/>
        <color rgb="FFFFFFFF"/>
        <rFont val="Calibri"/>
        <family val="2"/>
      </rPr>
      <t> </t>
    </r>
  </si>
  <si>
    <t>Current Vintage/  Tier 1 Allowances</t>
  </si>
  <si>
    <t>Future Vintage Allowances</t>
  </si>
  <si>
    <r>
      <rPr>
        <b/>
        <sz val="10"/>
        <color rgb="FFFFFFFF"/>
        <rFont val="Calibri"/>
        <family val="2"/>
      </rPr>
      <t>APCR Allowances</t>
    </r>
    <r>
      <rPr>
        <sz val="10"/>
        <color rgb="FFFFFFFF"/>
        <rFont val="Calibri"/>
        <family val="2"/>
      </rPr>
      <t> </t>
    </r>
  </si>
  <si>
    <r>
      <rPr>
        <b/>
        <sz val="10"/>
        <color rgb="FFFFFFFF"/>
        <rFont val="Calibri"/>
        <family val="2"/>
      </rPr>
      <t>Current / APCR Tier 1 Price</t>
    </r>
    <r>
      <rPr>
        <sz val="10"/>
        <color rgb="FFFFFFFF"/>
        <rFont val="Calibri"/>
        <family val="2"/>
      </rPr>
      <t> </t>
    </r>
  </si>
  <si>
    <r>
      <rPr>
        <b/>
        <sz val="10"/>
        <color rgb="FFFFFFFF"/>
        <rFont val="Calibri"/>
        <family val="2"/>
      </rPr>
      <t>Future / APCR Tier 2 Price</t>
    </r>
    <r>
      <rPr>
        <sz val="10"/>
        <color rgb="FFFFFFFF"/>
        <rFont val="Calibri"/>
        <family val="2"/>
      </rPr>
      <t> </t>
    </r>
  </si>
  <si>
    <r>
      <rPr>
        <b/>
        <sz val="10"/>
        <color rgb="FFFFFFFF"/>
        <rFont val="Calibri"/>
        <family val="2"/>
      </rPr>
      <t>Auction Proceeds</t>
    </r>
    <r>
      <rPr>
        <sz val="10"/>
        <color rgb="FFFFFFFF"/>
        <rFont val="Calibri"/>
        <family val="2"/>
      </rPr>
      <t> </t>
    </r>
  </si>
  <si>
    <t>APCR #1</t>
  </si>
  <si>
    <t>A #3</t>
  </si>
  <si>
    <t>APCR #2</t>
  </si>
  <si>
    <t>A #4</t>
  </si>
  <si>
    <t xml:space="preserve">APCR </t>
  </si>
  <si>
    <t>A #5</t>
  </si>
  <si>
    <t>A #6</t>
  </si>
  <si>
    <t>Total</t>
  </si>
  <si>
    <t> </t>
  </si>
  <si>
    <t>2025 Detailed View (Baseline Forecast)</t>
  </si>
  <si>
    <t>Fiscal Year 2025</t>
  </si>
  <si>
    <t>A #7</t>
  </si>
  <si>
    <t>APCR #3</t>
  </si>
  <si>
    <t>ECR</t>
  </si>
  <si>
    <t>September</t>
  </si>
  <si>
    <t>A #8</t>
  </si>
  <si>
    <t>▲Actual</t>
  </si>
  <si>
    <t>▼Forecast</t>
  </si>
  <si>
    <t>A #9</t>
  </si>
  <si>
    <t>A #10</t>
  </si>
  <si>
    <t xml:space="preserve">2026 Detailed View (Baseline Forecast) </t>
  </si>
  <si>
    <t>Fiscal Year 2026</t>
  </si>
  <si>
    <t>A #11</t>
  </si>
  <si>
    <t>APCR X25</t>
  </si>
  <si>
    <t>A #12</t>
  </si>
  <si>
    <t>APCR</t>
  </si>
  <si>
    <t>A #13</t>
  </si>
  <si>
    <t>A #14</t>
  </si>
  <si>
    <r>
      <t>2027 Detailed View (Baseline Forecast)</t>
    </r>
    <r>
      <rPr>
        <sz val="11"/>
        <color rgb="FF000000"/>
        <rFont val="Calibri"/>
        <family val="2"/>
      </rPr>
      <t> </t>
    </r>
  </si>
  <si>
    <t>Fiscal Year 2027</t>
  </si>
  <si>
    <t>A #15</t>
  </si>
  <si>
    <t>APCR X26</t>
  </si>
  <si>
    <t>A #16</t>
  </si>
  <si>
    <t>A #17</t>
  </si>
  <si>
    <t>A #18</t>
  </si>
  <si>
    <r>
      <t>2028 Detailed View (Baseline Forecast)</t>
    </r>
    <r>
      <rPr>
        <sz val="11"/>
        <color rgb="FF000000"/>
        <rFont val="Calibri"/>
        <family val="2"/>
      </rPr>
      <t> </t>
    </r>
  </si>
  <si>
    <t>Fiscal Year 2028</t>
  </si>
  <si>
    <t>A #19</t>
  </si>
  <si>
    <t>APCR X27</t>
  </si>
  <si>
    <t>Price Ceiling Sale</t>
  </si>
  <si>
    <t>A #20</t>
  </si>
  <si>
    <t>A #21</t>
  </si>
  <si>
    <t>A #22</t>
  </si>
  <si>
    <r>
      <t>2029 Detailed View (Baseline Forecast)</t>
    </r>
    <r>
      <rPr>
        <sz val="11"/>
        <color rgb="FF000000"/>
        <rFont val="Calibri"/>
        <family val="2"/>
      </rPr>
      <t> </t>
    </r>
  </si>
  <si>
    <t>Fiscal Year 2029</t>
  </si>
  <si>
    <t>A #23</t>
  </si>
  <si>
    <t>APCR X28</t>
  </si>
  <si>
    <t>A #24</t>
  </si>
  <si>
    <t>A #25</t>
  </si>
  <si>
    <t>A #26</t>
  </si>
  <si>
    <t>Low Bounding Scenario: California / Québec Price </t>
  </si>
  <si>
    <t>Fiscal Year 2024</t>
  </si>
  <si>
    <t xml:space="preserve">2025 Detailed View (Low Scenario) </t>
  </si>
  <si>
    <t xml:space="preserve">2026 Detailed View (Low Scenario) </t>
  </si>
  <si>
    <t xml:space="preserve">2027 Detailed View (Low Scenario) </t>
  </si>
  <si>
    <t xml:space="preserve">2028 Detailed View (Low Scenario) </t>
  </si>
  <si>
    <r>
      <t>2029 Detailed View (Low Scenario)</t>
    </r>
    <r>
      <rPr>
        <sz val="11"/>
        <color rgb="FF000000"/>
        <rFont val="Calibri"/>
        <family val="2"/>
      </rPr>
      <t> </t>
    </r>
  </si>
  <si>
    <t>High Bounding Scenario: Average and Estimates of Washington’s Prices </t>
  </si>
  <si>
    <t>APCR 2</t>
  </si>
  <si>
    <r>
      <t>2025 Detailed View (High Scenario)</t>
    </r>
    <r>
      <rPr>
        <sz val="11"/>
        <color rgb="FF000000"/>
        <rFont val="Calibri"/>
        <family val="2"/>
      </rPr>
      <t> </t>
    </r>
  </si>
  <si>
    <r>
      <t>2026 Detailed View (High Scenario)</t>
    </r>
    <r>
      <rPr>
        <sz val="11"/>
        <color rgb="FF000000"/>
        <rFont val="Calibri"/>
        <family val="2"/>
      </rPr>
      <t> </t>
    </r>
  </si>
  <si>
    <r>
      <t>2027 Detailed View (High Scenario)</t>
    </r>
    <r>
      <rPr>
        <sz val="11"/>
        <color rgb="FF000000"/>
        <rFont val="Calibri"/>
        <family val="2"/>
      </rPr>
      <t> </t>
    </r>
  </si>
  <si>
    <t xml:space="preserve">2028 Detailed View (High Scenario) </t>
  </si>
  <si>
    <r>
      <t>2029 Detailed View (High Scenario)</t>
    </r>
    <r>
      <rPr>
        <sz val="11"/>
        <color rgb="FF000000"/>
        <rFont val="Calibri"/>
        <family val="2"/>
      </rPr>
      <t> </t>
    </r>
  </si>
  <si>
    <t>Cap-and-Invest Program Allowance Auction Revenue - Historic Actuals</t>
  </si>
  <si>
    <t>Purpose: Provide details on actual revenue collections over prior allowance auctions in FY 2023 and FY24.</t>
  </si>
  <si>
    <t>Actual Revenue Collections by Auction in FY 2024</t>
  </si>
  <si>
    <t>Current Vintage Allowances</t>
  </si>
  <si>
    <t>Actual Revenue Collections by Auction in FY 2023</t>
  </si>
  <si>
    <t>Fiscal Year 2023</t>
  </si>
  <si>
    <t>A #1</t>
  </si>
  <si>
    <t>A #2</t>
  </si>
  <si>
    <t>Sum of Actual Revenue Collections in FY 2023-2024</t>
  </si>
  <si>
    <t>Publication No. 25-14-002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</si>
</sst>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5" formatCode="&quot;$&quot;#,##0_);\(&quot;$&quot;#,##0\)"/>
    <numFmt numFmtId="8" formatCode="&quot;$&quot;#,##0.00_);[Red]\(&quot;$&quot;#,##0.00\)"/>
    <numFmt numFmtId="41" formatCode="_(* #,##0_);_(* \(#,##0\);_(* &quot;-&quot;_);_(@_)"/>
    <numFmt numFmtId="44" formatCode="_(&quot;$&quot;* #,##0.00_);_(&quot;$&quot;* \(#,##0.00\);_(&quot;$&quot;* &quot;-&quot;??_);_(@_)"/>
    <numFmt numFmtId="43" formatCode="_(* #,##0.00_);_(* \(#,##0.00\);_(* &quot;-&quot;??_);_(@_)"/>
    <numFmt numFmtId="164" formatCode="_(&quot;$&quot;* #,##0_);_(&quot;$&quot;* \(#,##0\);_(&quot;$&quot;* &quot;-&quot;??_);_(@_)"/>
    <numFmt numFmtId="165" formatCode="&quot;$&quot;#,##0.00"/>
    <numFmt numFmtId="166" formatCode="0.0%"/>
    <numFmt numFmtId="167" formatCode="&quot;$&quot;#,##0"/>
    <numFmt numFmtId="168" formatCode="_(* #,##0_);_(* \(#,##0\);_(* &quot;-&quot;??_);_(@_)"/>
    <numFmt numFmtId="169" formatCode="_(* #,##0.0_);_(* \(#,##0.0\);_(* &quot;-&quot;?_);_(@_)"/>
  </numFmts>
  <fonts count="56" x14ac:knownFonts="1">
    <font>
      <sz val="11"/>
      <color theme="1"/>
      <name val="Calibri"/>
      <family val="2"/>
      <scheme val="minor"/>
    </font>
    <font>
      <sz val="11"/>
      <color theme="1"/>
      <name val="Calibri"/>
      <family val="2"/>
      <scheme val="minor"/>
    </font>
    <font>
      <b/>
      <sz val="11"/>
      <color theme="1"/>
      <name val="Calibri"/>
      <family val="2"/>
      <scheme val="minor"/>
    </font>
    <font>
      <b/>
      <sz val="11"/>
      <color rgb="FF000000"/>
      <name val="Calibri"/>
      <family val="2"/>
    </font>
    <font>
      <sz val="11"/>
      <color rgb="FF000000"/>
      <name val="Calibri"/>
      <family val="2"/>
    </font>
    <font>
      <vertAlign val="superscript"/>
      <sz val="11"/>
      <color rgb="FF000000"/>
      <name val="Calibri"/>
      <family val="2"/>
    </font>
    <font>
      <vertAlign val="superscript"/>
      <sz val="9"/>
      <color theme="1"/>
      <name val="Calibri"/>
      <family val="2"/>
      <scheme val="minor"/>
    </font>
    <font>
      <sz val="9"/>
      <color theme="1"/>
      <name val="Calibri"/>
      <family val="2"/>
      <scheme val="minor"/>
    </font>
    <font>
      <b/>
      <sz val="16"/>
      <color theme="1"/>
      <name val="Calibri"/>
      <family val="2"/>
      <scheme val="minor"/>
    </font>
    <font>
      <u/>
      <sz val="11"/>
      <color theme="10"/>
      <name val="Calibri"/>
      <family val="2"/>
      <scheme val="minor"/>
    </font>
    <font>
      <b/>
      <sz val="11"/>
      <color theme="0"/>
      <name val="Calibri"/>
      <family val="2"/>
      <scheme val="minor"/>
    </font>
    <font>
      <sz val="11"/>
      <color rgb="FFFF0000"/>
      <name val="Calibri"/>
      <family val="2"/>
      <scheme val="minor"/>
    </font>
    <font>
      <sz val="10"/>
      <color rgb="FF000000"/>
      <name val="Calibri"/>
      <family val="2"/>
    </font>
    <font>
      <sz val="10"/>
      <color rgb="FFFFFFFF"/>
      <name val="Calibri"/>
      <family val="2"/>
    </font>
    <font>
      <sz val="8"/>
      <color theme="1"/>
      <name val="Calibri"/>
      <family val="2"/>
      <scheme val="minor"/>
    </font>
    <font>
      <b/>
      <sz val="9"/>
      <color theme="1"/>
      <name val="Calibri"/>
      <family val="2"/>
      <scheme val="minor"/>
    </font>
    <font>
      <sz val="9"/>
      <name val="Calibri"/>
      <family val="2"/>
      <scheme val="minor"/>
    </font>
    <font>
      <i/>
      <sz val="9"/>
      <color rgb="FF000000"/>
      <name val="Calibri"/>
      <family val="2"/>
    </font>
    <font>
      <sz val="9"/>
      <color theme="1"/>
      <name val="Calibri"/>
      <family val="2"/>
    </font>
    <font>
      <b/>
      <sz val="10"/>
      <color rgb="FFFFFFFF"/>
      <name val="Calibri"/>
      <family val="2"/>
    </font>
    <font>
      <b/>
      <sz val="9"/>
      <color rgb="FF000000"/>
      <name val="Calibri"/>
      <family val="2"/>
    </font>
    <font>
      <sz val="9"/>
      <color rgb="FF000000"/>
      <name val="Calibri"/>
      <family val="2"/>
    </font>
    <font>
      <b/>
      <sz val="9"/>
      <color rgb="FF000000"/>
      <name val="Calibri"/>
      <family val="2"/>
      <scheme val="minor"/>
    </font>
    <font>
      <sz val="9"/>
      <color rgb="FF000000"/>
      <name val="Calibri"/>
      <family val="2"/>
      <scheme val="minor"/>
    </font>
    <font>
      <sz val="9"/>
      <color rgb="FF444444"/>
      <name val="Calibri"/>
      <family val="2"/>
    </font>
    <font>
      <b/>
      <sz val="9"/>
      <color rgb="FF444444"/>
      <name val="Calibri"/>
      <family val="2"/>
    </font>
    <font>
      <b/>
      <sz val="13"/>
      <color rgb="FF2F5496"/>
      <name val="Calibri"/>
      <family val="2"/>
      <scheme val="minor"/>
    </font>
    <font>
      <sz val="11"/>
      <color theme="1"/>
      <name val="Symbol"/>
      <family val="1"/>
      <charset val="2"/>
    </font>
    <font>
      <b/>
      <sz val="11"/>
      <color rgb="FFC00000"/>
      <name val="Calibri"/>
      <family val="2"/>
      <scheme val="minor"/>
    </font>
    <font>
      <u/>
      <sz val="9"/>
      <color theme="10"/>
      <name val="Calibri"/>
      <family val="2"/>
      <scheme val="minor"/>
    </font>
    <font>
      <sz val="11"/>
      <name val="Calibri"/>
      <family val="2"/>
      <scheme val="minor"/>
    </font>
    <font>
      <b/>
      <sz val="11"/>
      <name val="Calibri"/>
      <family val="2"/>
    </font>
    <font>
      <b/>
      <sz val="11"/>
      <color rgb="FFFF0000"/>
      <name val="Calibri"/>
      <family val="2"/>
      <scheme val="minor"/>
    </font>
    <font>
      <sz val="11"/>
      <color rgb="FF00B050"/>
      <name val="Calibri"/>
      <family val="2"/>
      <scheme val="minor"/>
    </font>
    <font>
      <i/>
      <sz val="11"/>
      <color rgb="FFFF0000"/>
      <name val="Calibri"/>
      <family val="2"/>
      <scheme val="minor"/>
    </font>
    <font>
      <i/>
      <sz val="11"/>
      <color rgb="FF00B050"/>
      <name val="Calibri"/>
      <family val="2"/>
      <scheme val="minor"/>
    </font>
    <font>
      <sz val="9"/>
      <name val="Calibri"/>
      <family val="2"/>
    </font>
    <font>
      <b/>
      <sz val="9"/>
      <name val="Calibri"/>
      <family val="2"/>
    </font>
    <font>
      <sz val="11"/>
      <color rgb="FFC00000"/>
      <name val="Calibri"/>
      <family val="2"/>
      <scheme val="minor"/>
    </font>
    <font>
      <vertAlign val="superscript"/>
      <sz val="9"/>
      <color rgb="FF000000"/>
      <name val="Calibri"/>
      <family val="2"/>
    </font>
    <font>
      <vertAlign val="superscript"/>
      <sz val="11"/>
      <color theme="1"/>
      <name val="Calibri"/>
      <family val="2"/>
      <scheme val="minor"/>
    </font>
    <font>
      <sz val="11"/>
      <color rgb="FF7030A0"/>
      <name val="Calibri"/>
      <family val="2"/>
      <scheme val="minor"/>
    </font>
    <font>
      <sz val="11"/>
      <color rgb="FF444444"/>
      <name val="Calibri"/>
      <family val="2"/>
    </font>
    <font>
      <i/>
      <sz val="9"/>
      <color theme="1"/>
      <name val="Calibri"/>
      <family val="2"/>
      <scheme val="minor"/>
    </font>
    <font>
      <b/>
      <sz val="9"/>
      <name val="Calibri"/>
      <family val="2"/>
      <scheme val="minor"/>
    </font>
    <font>
      <i/>
      <sz val="11"/>
      <color theme="1"/>
      <name val="Calibri"/>
      <family val="2"/>
      <scheme val="minor"/>
    </font>
    <font>
      <i/>
      <sz val="11"/>
      <name val="Calibri"/>
      <family val="2"/>
      <scheme val="minor"/>
    </font>
    <font>
      <b/>
      <sz val="11"/>
      <name val="Calibri"/>
      <family val="2"/>
      <scheme val="minor"/>
    </font>
    <font>
      <sz val="11"/>
      <name val="Calibri"/>
      <family val="2"/>
    </font>
    <font>
      <sz val="10"/>
      <color theme="1"/>
      <name val="Calibri"/>
      <family val="2"/>
      <scheme val="minor"/>
    </font>
    <font>
      <b/>
      <sz val="10"/>
      <color theme="1"/>
      <name val="Calibri"/>
      <family val="2"/>
      <scheme val="minor"/>
    </font>
    <font>
      <i/>
      <sz val="11"/>
      <color rgb="FF000000"/>
      <name val="Calibri"/>
      <family val="2"/>
    </font>
    <font>
      <b/>
      <sz val="11"/>
      <color rgb="FF000000"/>
      <name val="Calibri"/>
    </font>
    <font>
      <sz val="11"/>
      <color rgb="FF000000"/>
      <name val="Calibri"/>
    </font>
    <font>
      <sz val="11"/>
      <color rgb="FF000000"/>
      <name val="Calibri"/>
      <scheme val="minor"/>
    </font>
    <font>
      <i/>
      <sz val="11"/>
      <color rgb="FF000000"/>
      <name val="Calibri"/>
      <scheme val="minor"/>
    </font>
  </fonts>
  <fills count="11">
    <fill>
      <patternFill patternType="none"/>
    </fill>
    <fill>
      <patternFill patternType="gray125"/>
    </fill>
    <fill>
      <patternFill patternType="solid">
        <fgColor rgb="FF0070C0"/>
        <bgColor indexed="64"/>
      </patternFill>
    </fill>
    <fill>
      <patternFill patternType="solid">
        <fgColor rgb="FFD9E1F2"/>
        <bgColor rgb="FFD9E1F2"/>
      </patternFill>
    </fill>
    <fill>
      <patternFill patternType="solid">
        <fgColor rgb="FFE7E6E6"/>
        <bgColor rgb="FF000000"/>
      </patternFill>
    </fill>
    <fill>
      <patternFill patternType="solid">
        <fgColor rgb="FF4472C4"/>
        <bgColor indexed="64"/>
      </patternFill>
    </fill>
    <fill>
      <patternFill patternType="solid">
        <fgColor theme="4"/>
        <bgColor theme="4"/>
      </patternFill>
    </fill>
    <fill>
      <patternFill patternType="solid">
        <fgColor theme="4" tint="0.79998168889431442"/>
        <bgColor theme="4" tint="0.79998168889431442"/>
      </patternFill>
    </fill>
    <fill>
      <patternFill patternType="solid">
        <fgColor theme="4" tint="0.79998168889431442"/>
        <bgColor indexed="64"/>
      </patternFill>
    </fill>
    <fill>
      <patternFill patternType="solid">
        <fgColor theme="0"/>
        <bgColor indexed="64"/>
      </patternFill>
    </fill>
    <fill>
      <patternFill patternType="solid">
        <fgColor theme="8" tint="0.79998168889431442"/>
        <bgColor indexed="64"/>
      </patternFill>
    </fill>
  </fills>
  <borders count="10">
    <border>
      <left/>
      <right/>
      <top/>
      <bottom/>
      <diagonal/>
    </border>
    <border>
      <left/>
      <right/>
      <top style="thin">
        <color indexed="64"/>
      </top>
      <bottom/>
      <diagonal/>
    </border>
    <border>
      <left style="thin">
        <color theme="4"/>
      </left>
      <right/>
      <top style="thin">
        <color theme="4"/>
      </top>
      <bottom style="thin">
        <color theme="4"/>
      </bottom>
      <diagonal/>
    </border>
    <border>
      <left/>
      <right/>
      <top style="thin">
        <color theme="4"/>
      </top>
      <bottom style="thin">
        <color theme="4"/>
      </bottom>
      <diagonal/>
    </border>
    <border>
      <left/>
      <right style="thin">
        <color theme="4"/>
      </right>
      <top style="thin">
        <color theme="4"/>
      </top>
      <bottom style="thin">
        <color theme="4"/>
      </bottom>
      <diagonal/>
    </border>
    <border>
      <left style="thin">
        <color theme="4"/>
      </left>
      <right/>
      <top style="thin">
        <color theme="4"/>
      </top>
      <bottom/>
      <diagonal/>
    </border>
    <border>
      <left style="thin">
        <color theme="4"/>
      </left>
      <right/>
      <top/>
      <bottom/>
      <diagonal/>
    </border>
    <border>
      <left/>
      <right/>
      <top style="thin">
        <color theme="4" tint="0.39997558519241921"/>
      </top>
      <bottom style="thin">
        <color theme="4" tint="0.39997558519241921"/>
      </bottom>
      <diagonal/>
    </border>
    <border>
      <left/>
      <right/>
      <top/>
      <bottom style="thin">
        <color theme="4"/>
      </bottom>
      <diagonal/>
    </border>
    <border>
      <left/>
      <right/>
      <top style="thin">
        <color theme="4"/>
      </top>
      <bottom/>
      <diagonal/>
    </border>
  </borders>
  <cellStyleXfs count="6">
    <xf numFmtId="0" fontId="0" fillId="0" borderId="0"/>
    <xf numFmtId="44" fontId="1" fillId="0" borderId="0" applyFont="0" applyFill="0" applyBorder="0" applyAlignment="0" applyProtection="0"/>
    <xf numFmtId="0" fontId="9" fillId="0" borderId="0" applyNumberForma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cellStyleXfs>
  <cellXfs count="253">
    <xf numFmtId="0" fontId="0" fillId="0" borderId="0" xfId="0"/>
    <xf numFmtId="0" fontId="8" fillId="0" borderId="0" xfId="0" applyFont="1"/>
    <xf numFmtId="0" fontId="3" fillId="0" borderId="0" xfId="0" applyFont="1"/>
    <xf numFmtId="0" fontId="2" fillId="0" borderId="0" xfId="0" applyFont="1"/>
    <xf numFmtId="0" fontId="0" fillId="0" borderId="0" xfId="0" applyAlignment="1">
      <alignment vertical="top"/>
    </xf>
    <xf numFmtId="0" fontId="11" fillId="0" borderId="0" xfId="0" applyFont="1"/>
    <xf numFmtId="0" fontId="14" fillId="0" borderId="0" xfId="0" applyFont="1"/>
    <xf numFmtId="0" fontId="14" fillId="0" borderId="0" xfId="0" applyFont="1" applyAlignment="1">
      <alignment wrapText="1"/>
    </xf>
    <xf numFmtId="0" fontId="7" fillId="0" borderId="0" xfId="0" applyFont="1"/>
    <xf numFmtId="0" fontId="4" fillId="0" borderId="0" xfId="0" applyFont="1"/>
    <xf numFmtId="0" fontId="26" fillId="0" borderId="0" xfId="0" applyFont="1"/>
    <xf numFmtId="168" fontId="0" fillId="0" borderId="0" xfId="0" applyNumberFormat="1"/>
    <xf numFmtId="0" fontId="0" fillId="0" borderId="0" xfId="0" applyAlignment="1">
      <alignment vertical="center"/>
    </xf>
    <xf numFmtId="0" fontId="0" fillId="8" borderId="2" xfId="0" applyFill="1" applyBorder="1"/>
    <xf numFmtId="0" fontId="0" fillId="0" borderId="2" xfId="0" applyBorder="1"/>
    <xf numFmtId="0" fontId="2" fillId="8" borderId="2" xfId="0" applyFont="1" applyFill="1" applyBorder="1"/>
    <xf numFmtId="0" fontId="9" fillId="0" borderId="0" xfId="2" applyAlignment="1">
      <alignment vertical="center"/>
    </xf>
    <xf numFmtId="0" fontId="10" fillId="2" borderId="2" xfId="0" applyFont="1" applyFill="1" applyBorder="1"/>
    <xf numFmtId="0" fontId="10" fillId="2" borderId="5" xfId="0" applyFont="1" applyFill="1" applyBorder="1"/>
    <xf numFmtId="0" fontId="10" fillId="2" borderId="2" xfId="0" applyFont="1" applyFill="1" applyBorder="1" applyAlignment="1">
      <alignment vertical="center"/>
    </xf>
    <xf numFmtId="0" fontId="0" fillId="8" borderId="2" xfId="0" applyFill="1" applyBorder="1" applyAlignment="1">
      <alignment horizontal="left"/>
    </xf>
    <xf numFmtId="166" fontId="0" fillId="8" borderId="4" xfId="0" applyNumberFormat="1" applyFill="1" applyBorder="1"/>
    <xf numFmtId="0" fontId="0" fillId="0" borderId="2" xfId="0" applyBorder="1" applyAlignment="1">
      <alignment horizontal="left"/>
    </xf>
    <xf numFmtId="166" fontId="0" fillId="0" borderId="4" xfId="0" applyNumberFormat="1" applyBorder="1"/>
    <xf numFmtId="0" fontId="19" fillId="5" borderId="2" xfId="0" applyFont="1" applyFill="1" applyBorder="1" applyAlignment="1">
      <alignment horizontal="center" vertical="center" wrapText="1"/>
    </xf>
    <xf numFmtId="0" fontId="19" fillId="5" borderId="3" xfId="0" applyFont="1" applyFill="1" applyBorder="1" applyAlignment="1">
      <alignment horizontal="center" vertical="center" wrapText="1"/>
    </xf>
    <xf numFmtId="0" fontId="19" fillId="5" borderId="4" xfId="0" applyFont="1" applyFill="1" applyBorder="1" applyAlignment="1">
      <alignment horizontal="center" vertical="center" wrapText="1"/>
    </xf>
    <xf numFmtId="0" fontId="4" fillId="3" borderId="2" xfId="0" applyFont="1" applyFill="1" applyBorder="1"/>
    <xf numFmtId="14" fontId="4" fillId="3" borderId="3" xfId="0" applyNumberFormat="1" applyFont="1" applyFill="1" applyBorder="1"/>
    <xf numFmtId="0" fontId="4" fillId="0" borderId="2" xfId="0" applyFont="1" applyBorder="1"/>
    <xf numFmtId="14" fontId="4" fillId="0" borderId="3" xfId="0" applyNumberFormat="1" applyFont="1" applyBorder="1"/>
    <xf numFmtId="0" fontId="3" fillId="4" borderId="2" xfId="0" applyFont="1" applyFill="1" applyBorder="1"/>
    <xf numFmtId="0" fontId="3" fillId="4" borderId="3" xfId="0" applyFont="1" applyFill="1" applyBorder="1"/>
    <xf numFmtId="168" fontId="3" fillId="4" borderId="3" xfId="3" applyNumberFormat="1" applyFont="1" applyFill="1" applyBorder="1" applyAlignment="1"/>
    <xf numFmtId="167" fontId="3" fillId="4" borderId="4" xfId="1" applyNumberFormat="1" applyFont="1" applyFill="1" applyBorder="1" applyAlignment="1"/>
    <xf numFmtId="168" fontId="4" fillId="3" borderId="3" xfId="0" applyNumberFormat="1" applyFont="1" applyFill="1" applyBorder="1"/>
    <xf numFmtId="168" fontId="4" fillId="0" borderId="3" xfId="0" applyNumberFormat="1" applyFont="1" applyBorder="1"/>
    <xf numFmtId="0" fontId="4" fillId="3" borderId="2" xfId="0" applyFont="1" applyFill="1" applyBorder="1" applyAlignment="1">
      <alignment vertical="top"/>
    </xf>
    <xf numFmtId="14" fontId="4" fillId="3" borderId="3" xfId="0" applyNumberFormat="1" applyFont="1" applyFill="1" applyBorder="1" applyAlignment="1">
      <alignment vertical="top"/>
    </xf>
    <xf numFmtId="168" fontId="4" fillId="3" borderId="3" xfId="3" applyNumberFormat="1" applyFont="1" applyFill="1" applyBorder="1" applyAlignment="1">
      <alignment vertical="top"/>
    </xf>
    <xf numFmtId="0" fontId="4" fillId="0" borderId="2" xfId="0" applyFont="1" applyBorder="1" applyAlignment="1">
      <alignment vertical="top"/>
    </xf>
    <xf numFmtId="14" fontId="4" fillId="0" borderId="3" xfId="0" applyNumberFormat="1" applyFont="1" applyBorder="1" applyAlignment="1">
      <alignment vertical="top"/>
    </xf>
    <xf numFmtId="168" fontId="4" fillId="0" borderId="3" xfId="3" applyNumberFormat="1" applyFont="1" applyBorder="1" applyAlignment="1">
      <alignment vertical="top"/>
    </xf>
    <xf numFmtId="168" fontId="17" fillId="3" borderId="3" xfId="3" applyNumberFormat="1" applyFont="1" applyFill="1" applyBorder="1" applyAlignment="1">
      <alignment vertical="top"/>
    </xf>
    <xf numFmtId="0" fontId="3" fillId="4" borderId="2" xfId="0" applyFont="1" applyFill="1" applyBorder="1" applyAlignment="1">
      <alignment vertical="top"/>
    </xf>
    <xf numFmtId="0" fontId="3" fillId="4" borderId="3" xfId="0" applyFont="1" applyFill="1" applyBorder="1" applyAlignment="1">
      <alignment vertical="top"/>
    </xf>
    <xf numFmtId="168" fontId="3" fillId="4" borderId="3" xfId="3" applyNumberFormat="1" applyFont="1" applyFill="1" applyBorder="1" applyAlignment="1">
      <alignment vertical="top"/>
    </xf>
    <xf numFmtId="0" fontId="28" fillId="0" borderId="0" xfId="0" applyFont="1"/>
    <xf numFmtId="44" fontId="0" fillId="0" borderId="0" xfId="1" applyFont="1"/>
    <xf numFmtId="44" fontId="0" fillId="0" borderId="0" xfId="0" applyNumberFormat="1"/>
    <xf numFmtId="3" fontId="3" fillId="0" borderId="0" xfId="0" applyNumberFormat="1" applyFont="1"/>
    <xf numFmtId="168" fontId="3" fillId="0" borderId="0" xfId="0" applyNumberFormat="1" applyFont="1"/>
    <xf numFmtId="14" fontId="0" fillId="0" borderId="0" xfId="0" applyNumberFormat="1" applyAlignment="1">
      <alignment horizontal="left" vertical="top" wrapText="1"/>
    </xf>
    <xf numFmtId="14" fontId="11" fillId="0" borderId="0" xfId="0" applyNumberFormat="1" applyFont="1" applyAlignment="1">
      <alignment horizontal="left" vertical="top"/>
    </xf>
    <xf numFmtId="0" fontId="15" fillId="0" borderId="0" xfId="0" applyFont="1" applyAlignment="1">
      <alignment horizontal="left" vertical="center" wrapText="1"/>
    </xf>
    <xf numFmtId="44" fontId="11" fillId="0" borderId="0" xfId="1" applyFont="1"/>
    <xf numFmtId="0" fontId="2" fillId="0" borderId="0" xfId="0" applyFont="1" applyAlignment="1">
      <alignment horizontal="center"/>
    </xf>
    <xf numFmtId="0" fontId="2" fillId="0" borderId="2" xfId="0" applyFont="1" applyBorder="1" applyAlignment="1">
      <alignment horizontal="left"/>
    </xf>
    <xf numFmtId="0" fontId="2" fillId="9" borderId="2" xfId="0" applyFont="1" applyFill="1" applyBorder="1" applyAlignment="1">
      <alignment horizontal="left"/>
    </xf>
    <xf numFmtId="0" fontId="31" fillId="4" borderId="3" xfId="0" applyFont="1" applyFill="1" applyBorder="1" applyAlignment="1">
      <alignment vertical="top"/>
    </xf>
    <xf numFmtId="0" fontId="32" fillId="0" borderId="0" xfId="0" applyFont="1"/>
    <xf numFmtId="44" fontId="33" fillId="0" borderId="0" xfId="1" applyFont="1"/>
    <xf numFmtId="0" fontId="34" fillId="0" borderId="0" xfId="0" applyFont="1"/>
    <xf numFmtId="14" fontId="4" fillId="3" borderId="3" xfId="0" applyNumberFormat="1" applyFont="1" applyFill="1" applyBorder="1" applyAlignment="1">
      <alignment horizontal="right"/>
    </xf>
    <xf numFmtId="0" fontId="35" fillId="0" borderId="0" xfId="0" applyFont="1"/>
    <xf numFmtId="0" fontId="0" fillId="7" borderId="2" xfId="0" applyFill="1" applyBorder="1" applyAlignment="1">
      <alignment horizontal="left" vertical="top"/>
    </xf>
    <xf numFmtId="0" fontId="0" fillId="0" borderId="2" xfId="0" applyBorder="1" applyAlignment="1">
      <alignment horizontal="left" vertical="top"/>
    </xf>
    <xf numFmtId="168" fontId="0" fillId="7" borderId="4" xfId="4" applyNumberFormat="1" applyFont="1" applyFill="1" applyBorder="1" applyAlignment="1">
      <alignment horizontal="right" vertical="top"/>
    </xf>
    <xf numFmtId="168" fontId="0" fillId="0" borderId="4" xfId="4" applyNumberFormat="1" applyFont="1" applyBorder="1" applyAlignment="1">
      <alignment horizontal="right" vertical="top"/>
    </xf>
    <xf numFmtId="165" fontId="0" fillId="0" borderId="0" xfId="0" applyNumberFormat="1"/>
    <xf numFmtId="14" fontId="0" fillId="0" borderId="7" xfId="0" applyNumberFormat="1" applyBorder="1"/>
    <xf numFmtId="14" fontId="4" fillId="0" borderId="3" xfId="0" applyNumberFormat="1" applyFont="1" applyBorder="1" applyAlignment="1">
      <alignment horizontal="right"/>
    </xf>
    <xf numFmtId="164" fontId="0" fillId="0" borderId="0" xfId="0" applyNumberFormat="1"/>
    <xf numFmtId="168" fontId="11" fillId="0" borderId="0" xfId="0" applyNumberFormat="1" applyFont="1"/>
    <xf numFmtId="44" fontId="33" fillId="0" borderId="0" xfId="1" applyFont="1" applyFill="1"/>
    <xf numFmtId="14" fontId="30" fillId="0" borderId="0" xfId="0" applyNumberFormat="1" applyFont="1" applyAlignment="1">
      <alignment horizontal="left"/>
    </xf>
    <xf numFmtId="44" fontId="31" fillId="4" borderId="3" xfId="0" applyNumberFormat="1" applyFont="1" applyFill="1" applyBorder="1" applyAlignment="1">
      <alignment vertical="top"/>
    </xf>
    <xf numFmtId="43" fontId="0" fillId="0" borderId="0" xfId="3" applyFont="1"/>
    <xf numFmtId="0" fontId="0" fillId="0" borderId="8" xfId="0" applyBorder="1"/>
    <xf numFmtId="44" fontId="0" fillId="0" borderId="8" xfId="0" applyNumberFormat="1" applyBorder="1"/>
    <xf numFmtId="165" fontId="4" fillId="3" borderId="3" xfId="1" applyNumberFormat="1" applyFont="1" applyFill="1" applyBorder="1" applyAlignment="1">
      <alignment vertical="top"/>
    </xf>
    <xf numFmtId="165" fontId="4" fillId="0" borderId="3" xfId="1" applyNumberFormat="1" applyFont="1" applyBorder="1" applyAlignment="1">
      <alignment vertical="top"/>
    </xf>
    <xf numFmtId="167" fontId="4" fillId="3" borderId="4" xfId="1" applyNumberFormat="1" applyFont="1" applyFill="1" applyBorder="1" applyAlignment="1">
      <alignment vertical="top"/>
    </xf>
    <xf numFmtId="167" fontId="4" fillId="0" borderId="4" xfId="1" applyNumberFormat="1" applyFont="1" applyBorder="1" applyAlignment="1">
      <alignment vertical="top"/>
    </xf>
    <xf numFmtId="165" fontId="4" fillId="3" borderId="3" xfId="0" applyNumberFormat="1" applyFont="1" applyFill="1" applyBorder="1"/>
    <xf numFmtId="165" fontId="4" fillId="0" borderId="3" xfId="0" applyNumberFormat="1" applyFont="1" applyBorder="1"/>
    <xf numFmtId="167" fontId="4" fillId="0" borderId="4" xfId="0" applyNumberFormat="1" applyFont="1" applyBorder="1"/>
    <xf numFmtId="41" fontId="4" fillId="3" borderId="4" xfId="0" applyNumberFormat="1" applyFont="1" applyFill="1" applyBorder="1"/>
    <xf numFmtId="41" fontId="4" fillId="0" borderId="4" xfId="0" applyNumberFormat="1" applyFont="1" applyBorder="1"/>
    <xf numFmtId="41" fontId="4" fillId="0" borderId="3" xfId="0" applyNumberFormat="1" applyFont="1" applyBorder="1"/>
    <xf numFmtId="41" fontId="4" fillId="0" borderId="3" xfId="1" applyNumberFormat="1" applyFont="1" applyBorder="1" applyAlignment="1">
      <alignment vertical="top"/>
    </xf>
    <xf numFmtId="41" fontId="4" fillId="3" borderId="4" xfId="1" applyNumberFormat="1" applyFont="1" applyFill="1" applyBorder="1" applyAlignment="1">
      <alignment horizontal="right" vertical="top"/>
    </xf>
    <xf numFmtId="41" fontId="4" fillId="3" borderId="4" xfId="1" applyNumberFormat="1" applyFont="1" applyFill="1" applyBorder="1" applyAlignment="1">
      <alignment vertical="top"/>
    </xf>
    <xf numFmtId="43" fontId="4" fillId="0" borderId="3" xfId="3" applyFont="1" applyBorder="1"/>
    <xf numFmtId="43" fontId="4" fillId="3" borderId="3" xfId="3" applyFont="1" applyFill="1" applyBorder="1"/>
    <xf numFmtId="168" fontId="4" fillId="0" borderId="3" xfId="3" applyNumberFormat="1" applyFont="1" applyBorder="1"/>
    <xf numFmtId="168" fontId="4" fillId="3" borderId="3" xfId="3" applyNumberFormat="1" applyFont="1" applyFill="1" applyBorder="1"/>
    <xf numFmtId="165" fontId="0" fillId="8" borderId="3" xfId="1" applyNumberFormat="1" applyFont="1" applyFill="1" applyBorder="1"/>
    <xf numFmtId="165" fontId="0" fillId="8" borderId="4" xfId="1" applyNumberFormat="1" applyFont="1" applyFill="1" applyBorder="1"/>
    <xf numFmtId="165" fontId="0" fillId="0" borderId="3" xfId="1" applyNumberFormat="1" applyFont="1" applyBorder="1"/>
    <xf numFmtId="165" fontId="0" fillId="0" borderId="4" xfId="1" applyNumberFormat="1" applyFont="1" applyBorder="1"/>
    <xf numFmtId="165" fontId="2" fillId="8" borderId="4" xfId="1" applyNumberFormat="1" applyFont="1" applyFill="1" applyBorder="1"/>
    <xf numFmtId="164" fontId="38" fillId="0" borderId="0" xfId="0" applyNumberFormat="1" applyFont="1"/>
    <xf numFmtId="167" fontId="0" fillId="0" borderId="1" xfId="1" applyNumberFormat="1" applyFont="1" applyFill="1" applyBorder="1"/>
    <xf numFmtId="0" fontId="21" fillId="0" borderId="1" xfId="0" applyFont="1" applyBorder="1" applyAlignment="1">
      <alignment vertical="center"/>
    </xf>
    <xf numFmtId="14" fontId="0" fillId="0" borderId="3" xfId="0" applyNumberFormat="1" applyBorder="1" applyAlignment="1">
      <alignment horizontal="left" vertical="top" wrapText="1"/>
    </xf>
    <xf numFmtId="0" fontId="12" fillId="10" borderId="3" xfId="0" applyFont="1" applyFill="1" applyBorder="1" applyAlignment="1">
      <alignment vertical="center"/>
    </xf>
    <xf numFmtId="0" fontId="2" fillId="10" borderId="3" xfId="1" applyNumberFormat="1" applyFont="1" applyFill="1" applyBorder="1" applyAlignment="1">
      <alignment horizontal="center"/>
    </xf>
    <xf numFmtId="164" fontId="2" fillId="10" borderId="3" xfId="1" applyNumberFormat="1" applyFont="1" applyFill="1" applyBorder="1" applyAlignment="1">
      <alignment horizontal="center"/>
    </xf>
    <xf numFmtId="0" fontId="3" fillId="0" borderId="3" xfId="0" applyFont="1" applyBorder="1" applyAlignment="1">
      <alignment vertical="center"/>
    </xf>
    <xf numFmtId="167" fontId="2" fillId="0" borderId="3" xfId="1" applyNumberFormat="1" applyFont="1" applyFill="1" applyBorder="1"/>
    <xf numFmtId="0" fontId="4" fillId="10" borderId="3" xfId="0" applyFont="1" applyFill="1" applyBorder="1" applyAlignment="1">
      <alignment vertical="center"/>
    </xf>
    <xf numFmtId="167" fontId="0" fillId="10" borderId="3" xfId="1" applyNumberFormat="1" applyFont="1" applyFill="1" applyBorder="1"/>
    <xf numFmtId="0" fontId="4" fillId="0" borderId="3" xfId="0" applyFont="1" applyBorder="1" applyAlignment="1">
      <alignment vertical="center"/>
    </xf>
    <xf numFmtId="167" fontId="0" fillId="0" borderId="3" xfId="1" applyNumberFormat="1" applyFont="1" applyFill="1" applyBorder="1"/>
    <xf numFmtId="14" fontId="30" fillId="0" borderId="0" xfId="0" applyNumberFormat="1" applyFont="1" applyAlignment="1">
      <alignment vertical="top" wrapText="1"/>
    </xf>
    <xf numFmtId="164" fontId="41" fillId="0" borderId="0" xfId="0" applyNumberFormat="1" applyFont="1"/>
    <xf numFmtId="0" fontId="42" fillId="0" borderId="0" xfId="0" applyFont="1"/>
    <xf numFmtId="0" fontId="27" fillId="0" borderId="0" xfId="0" applyFont="1" applyAlignment="1">
      <alignment horizontal="left" vertical="top" indent="5"/>
    </xf>
    <xf numFmtId="0" fontId="15" fillId="0" borderId="0" xfId="0" applyFont="1" applyAlignment="1">
      <alignment vertical="center" wrapText="1"/>
    </xf>
    <xf numFmtId="9" fontId="0" fillId="0" borderId="0" xfId="5" applyFont="1" applyAlignment="1">
      <alignment horizontal="left" vertical="top" wrapText="1"/>
    </xf>
    <xf numFmtId="164" fontId="11" fillId="0" borderId="0" xfId="0" applyNumberFormat="1" applyFont="1"/>
    <xf numFmtId="168" fontId="4" fillId="8" borderId="3" xfId="3" applyNumberFormat="1" applyFont="1" applyFill="1" applyBorder="1" applyAlignment="1">
      <alignment vertical="top"/>
    </xf>
    <xf numFmtId="165" fontId="4" fillId="8" borderId="3" xfId="1" applyNumberFormat="1" applyFont="1" applyFill="1" applyBorder="1" applyAlignment="1">
      <alignment vertical="top"/>
    </xf>
    <xf numFmtId="41" fontId="4" fillId="8" borderId="3" xfId="1" applyNumberFormat="1" applyFont="1" applyFill="1" applyBorder="1" applyAlignment="1">
      <alignment vertical="top"/>
    </xf>
    <xf numFmtId="0" fontId="4" fillId="8" borderId="2" xfId="0" applyFont="1" applyFill="1" applyBorder="1" applyAlignment="1">
      <alignment vertical="top"/>
    </xf>
    <xf numFmtId="14" fontId="4" fillId="8" borderId="3" xfId="0" applyNumberFormat="1" applyFont="1" applyFill="1" applyBorder="1" applyAlignment="1">
      <alignment vertical="top"/>
    </xf>
    <xf numFmtId="164" fontId="4" fillId="8" borderId="4" xfId="1" applyNumberFormat="1" applyFont="1" applyFill="1" applyBorder="1" applyAlignment="1">
      <alignment vertical="top"/>
    </xf>
    <xf numFmtId="164" fontId="4" fillId="0" borderId="4" xfId="1" applyNumberFormat="1" applyFont="1" applyBorder="1" applyAlignment="1">
      <alignment vertical="top"/>
    </xf>
    <xf numFmtId="164" fontId="4" fillId="3" borderId="4" xfId="1" applyNumberFormat="1" applyFont="1" applyFill="1" applyBorder="1" applyAlignment="1">
      <alignment vertical="top"/>
    </xf>
    <xf numFmtId="164" fontId="3" fillId="4" borderId="4" xfId="1" applyNumberFormat="1" applyFont="1" applyFill="1" applyBorder="1" applyAlignment="1"/>
    <xf numFmtId="164" fontId="19" fillId="5" borderId="4" xfId="1" applyNumberFormat="1" applyFont="1" applyFill="1" applyBorder="1" applyAlignment="1">
      <alignment horizontal="center" vertical="center" wrapText="1"/>
    </xf>
    <xf numFmtId="165" fontId="11" fillId="0" borderId="0" xfId="0" applyNumberFormat="1" applyFont="1"/>
    <xf numFmtId="14" fontId="11" fillId="0" borderId="0" xfId="0" applyNumberFormat="1" applyFont="1" applyAlignment="1">
      <alignment horizontal="left" vertical="top" wrapText="1"/>
    </xf>
    <xf numFmtId="165" fontId="30" fillId="0" borderId="3" xfId="1" quotePrefix="1" applyNumberFormat="1" applyFont="1" applyBorder="1"/>
    <xf numFmtId="43" fontId="11" fillId="0" borderId="0" xfId="0" applyNumberFormat="1" applyFont="1"/>
    <xf numFmtId="168" fontId="32" fillId="0" borderId="0" xfId="0" applyNumberFormat="1" applyFont="1"/>
    <xf numFmtId="0" fontId="9" fillId="0" borderId="0" xfId="2"/>
    <xf numFmtId="168" fontId="4" fillId="0" borderId="3" xfId="0" applyNumberFormat="1" applyFont="1" applyBorder="1" applyAlignment="1">
      <alignment horizontal="left" indent="2"/>
    </xf>
    <xf numFmtId="168" fontId="4" fillId="3" borderId="3" xfId="0" applyNumberFormat="1" applyFont="1" applyFill="1" applyBorder="1" applyAlignment="1">
      <alignment horizontal="left" indent="2"/>
    </xf>
    <xf numFmtId="8" fontId="0" fillId="0" borderId="0" xfId="0" applyNumberFormat="1"/>
    <xf numFmtId="44" fontId="2" fillId="0" borderId="0" xfId="1" applyFont="1"/>
    <xf numFmtId="0" fontId="30" fillId="0" borderId="0" xfId="0" applyFont="1"/>
    <xf numFmtId="167" fontId="30" fillId="0" borderId="4" xfId="1" applyNumberFormat="1" applyFont="1" applyBorder="1"/>
    <xf numFmtId="167" fontId="30" fillId="8" borderId="4" xfId="1" applyNumberFormat="1" applyFont="1" applyFill="1" applyBorder="1"/>
    <xf numFmtId="167" fontId="47" fillId="9" borderId="4" xfId="1" applyNumberFormat="1" applyFont="1" applyFill="1" applyBorder="1"/>
    <xf numFmtId="9" fontId="30" fillId="0" borderId="0" xfId="5" applyFont="1"/>
    <xf numFmtId="167" fontId="47" fillId="0" borderId="4" xfId="1" applyNumberFormat="1" applyFont="1" applyBorder="1"/>
    <xf numFmtId="165" fontId="30" fillId="8" borderId="3" xfId="1" applyNumberFormat="1" applyFont="1" applyFill="1" applyBorder="1"/>
    <xf numFmtId="165" fontId="30" fillId="8" borderId="4" xfId="1" applyNumberFormat="1" applyFont="1" applyFill="1" applyBorder="1"/>
    <xf numFmtId="165" fontId="46" fillId="0" borderId="3" xfId="1" quotePrefix="1" applyNumberFormat="1" applyFont="1" applyBorder="1"/>
    <xf numFmtId="165" fontId="46" fillId="0" borderId="4" xfId="1" applyNumberFormat="1" applyFont="1" applyBorder="1"/>
    <xf numFmtId="165" fontId="46" fillId="8" borderId="3" xfId="1" applyNumberFormat="1" applyFont="1" applyFill="1" applyBorder="1"/>
    <xf numFmtId="165" fontId="46" fillId="8" borderId="4" xfId="1" applyNumberFormat="1" applyFont="1" applyFill="1" applyBorder="1"/>
    <xf numFmtId="167" fontId="47" fillId="0" borderId="3" xfId="1" applyNumberFormat="1" applyFont="1" applyFill="1" applyBorder="1"/>
    <xf numFmtId="167" fontId="30" fillId="10" borderId="3" xfId="1" applyNumberFormat="1" applyFont="1" applyFill="1" applyBorder="1"/>
    <xf numFmtId="167" fontId="30" fillId="0" borderId="3" xfId="1" applyNumberFormat="1" applyFont="1" applyFill="1" applyBorder="1"/>
    <xf numFmtId="0" fontId="31" fillId="0" borderId="0" xfId="0" applyFont="1"/>
    <xf numFmtId="0" fontId="47" fillId="0" borderId="0" xfId="0" applyFont="1"/>
    <xf numFmtId="0" fontId="8" fillId="0" borderId="0" xfId="0" applyFont="1" applyAlignment="1">
      <alignment horizontal="left"/>
    </xf>
    <xf numFmtId="0" fontId="2" fillId="0" borderId="0" xfId="0" applyFont="1" applyAlignment="1">
      <alignment horizontal="left"/>
    </xf>
    <xf numFmtId="0" fontId="10" fillId="6" borderId="2" xfId="0" applyFont="1" applyFill="1" applyBorder="1" applyAlignment="1">
      <alignment horizontal="left" vertical="top" wrapText="1"/>
    </xf>
    <xf numFmtId="0" fontId="14" fillId="0" borderId="0" xfId="0" applyFont="1" applyAlignment="1">
      <alignment horizontal="left" vertical="center"/>
    </xf>
    <xf numFmtId="0" fontId="29" fillId="0" borderId="0" xfId="2" applyFont="1" applyAlignment="1">
      <alignment horizontal="left" vertical="top"/>
    </xf>
    <xf numFmtId="0" fontId="14" fillId="0" borderId="0" xfId="0" applyFont="1" applyAlignment="1">
      <alignment horizontal="left" wrapText="1"/>
    </xf>
    <xf numFmtId="0" fontId="2" fillId="0" borderId="0" xfId="0" applyFont="1" applyAlignment="1">
      <alignment horizontal="left" vertical="center"/>
    </xf>
    <xf numFmtId="0" fontId="0" fillId="0" borderId="0" xfId="0" applyAlignment="1">
      <alignment horizontal="left"/>
    </xf>
    <xf numFmtId="0" fontId="2" fillId="0" borderId="0" xfId="0" applyFont="1" applyAlignment="1">
      <alignment horizontal="left" vertical="top"/>
    </xf>
    <xf numFmtId="0" fontId="14" fillId="0" borderId="0" xfId="0" applyFont="1" applyAlignment="1">
      <alignment horizontal="left"/>
    </xf>
    <xf numFmtId="0" fontId="0" fillId="0" borderId="0" xfId="0" applyAlignment="1">
      <alignment horizontal="right"/>
    </xf>
    <xf numFmtId="0" fontId="0" fillId="0" borderId="0" xfId="0" applyAlignment="1">
      <alignment horizontal="right" vertical="top" wrapText="1"/>
    </xf>
    <xf numFmtId="0" fontId="2" fillId="0" borderId="0" xfId="0" applyFont="1" applyAlignment="1">
      <alignment horizontal="right"/>
    </xf>
    <xf numFmtId="0" fontId="10" fillId="6" borderId="4" xfId="0" applyFont="1" applyFill="1" applyBorder="1" applyAlignment="1">
      <alignment horizontal="right" vertical="top"/>
    </xf>
    <xf numFmtId="0" fontId="7" fillId="0" borderId="0" xfId="0" applyFont="1" applyAlignment="1">
      <alignment horizontal="right" vertical="top" wrapText="1"/>
    </xf>
    <xf numFmtId="0" fontId="14" fillId="0" borderId="0" xfId="0" applyFont="1" applyAlignment="1">
      <alignment horizontal="right" wrapText="1"/>
    </xf>
    <xf numFmtId="168" fontId="0" fillId="0" borderId="0" xfId="4" applyNumberFormat="1" applyFont="1" applyFill="1" applyAlignment="1">
      <alignment horizontal="right"/>
    </xf>
    <xf numFmtId="168" fontId="2" fillId="0" borderId="0" xfId="4" applyNumberFormat="1" applyFont="1" applyFill="1" applyAlignment="1">
      <alignment horizontal="right"/>
    </xf>
    <xf numFmtId="0" fontId="0" fillId="0" borderId="0" xfId="0" applyAlignment="1">
      <alignment horizontal="right" vertical="top"/>
    </xf>
    <xf numFmtId="0" fontId="14" fillId="0" borderId="0" xfId="0" applyFont="1" applyAlignment="1">
      <alignment horizontal="right"/>
    </xf>
    <xf numFmtId="14" fontId="4" fillId="3" borderId="3" xfId="0" applyNumberFormat="1" applyFont="1" applyFill="1" applyBorder="1" applyAlignment="1">
      <alignment horizontal="right" vertical="top"/>
    </xf>
    <xf numFmtId="168" fontId="4" fillId="3" borderId="3" xfId="3" applyNumberFormat="1" applyFont="1" applyFill="1" applyBorder="1" applyAlignment="1">
      <alignment horizontal="right" vertical="top"/>
    </xf>
    <xf numFmtId="165" fontId="4" fillId="3" borderId="3" xfId="1" applyNumberFormat="1" applyFont="1" applyFill="1" applyBorder="1" applyAlignment="1">
      <alignment horizontal="right" vertical="top"/>
    </xf>
    <xf numFmtId="167" fontId="4" fillId="3" borderId="4" xfId="1" applyNumberFormat="1" applyFont="1" applyFill="1" applyBorder="1" applyAlignment="1">
      <alignment horizontal="right" vertical="top"/>
    </xf>
    <xf numFmtId="14" fontId="4" fillId="0" borderId="3" xfId="0" applyNumberFormat="1" applyFont="1" applyBorder="1" applyAlignment="1">
      <alignment horizontal="right" vertical="top"/>
    </xf>
    <xf numFmtId="168" fontId="4" fillId="0" borderId="3" xfId="3" applyNumberFormat="1" applyFont="1" applyBorder="1" applyAlignment="1">
      <alignment horizontal="right" vertical="top"/>
    </xf>
    <xf numFmtId="165" fontId="4" fillId="0" borderId="3" xfId="1" applyNumberFormat="1" applyFont="1" applyBorder="1" applyAlignment="1">
      <alignment horizontal="right" vertical="top"/>
    </xf>
    <xf numFmtId="41" fontId="4" fillId="0" borderId="3" xfId="1" applyNumberFormat="1" applyFont="1" applyBorder="1" applyAlignment="1">
      <alignment horizontal="right" vertical="top"/>
    </xf>
    <xf numFmtId="167" fontId="4" fillId="0" borderId="4" xfId="1" applyNumberFormat="1" applyFont="1" applyBorder="1" applyAlignment="1">
      <alignment horizontal="right" vertical="top"/>
    </xf>
    <xf numFmtId="168" fontId="17" fillId="3" borderId="3" xfId="3" applyNumberFormat="1" applyFont="1" applyFill="1" applyBorder="1" applyAlignment="1">
      <alignment horizontal="right" vertical="top"/>
    </xf>
    <xf numFmtId="0" fontId="19" fillId="5" borderId="2" xfId="0" applyFont="1" applyFill="1" applyBorder="1" applyAlignment="1">
      <alignment horizontal="left" vertical="center" wrapText="1"/>
    </xf>
    <xf numFmtId="0" fontId="19" fillId="5" borderId="3" xfId="0" applyFont="1" applyFill="1" applyBorder="1" applyAlignment="1">
      <alignment horizontal="left" vertical="center" wrapText="1"/>
    </xf>
    <xf numFmtId="0" fontId="19" fillId="5" borderId="4" xfId="0" applyFont="1" applyFill="1" applyBorder="1" applyAlignment="1">
      <alignment horizontal="left" vertical="center" wrapText="1"/>
    </xf>
    <xf numFmtId="168" fontId="4" fillId="0" borderId="3" xfId="0" applyNumberFormat="1" applyFont="1" applyBorder="1" applyAlignment="1">
      <alignment horizontal="left"/>
    </xf>
    <xf numFmtId="168" fontId="4" fillId="0" borderId="3" xfId="0" applyNumberFormat="1" applyFont="1" applyBorder="1" applyAlignment="1">
      <alignment horizontal="left" indent="1"/>
    </xf>
    <xf numFmtId="0" fontId="2" fillId="10" borderId="3" xfId="1" applyNumberFormat="1" applyFont="1" applyFill="1" applyBorder="1" applyAlignment="1">
      <alignment horizontal="right"/>
    </xf>
    <xf numFmtId="164" fontId="2" fillId="10" borderId="3" xfId="1" applyNumberFormat="1" applyFont="1" applyFill="1" applyBorder="1" applyAlignment="1">
      <alignment horizontal="right"/>
    </xf>
    <xf numFmtId="0" fontId="10" fillId="2" borderId="3" xfId="0" applyFont="1" applyFill="1" applyBorder="1" applyAlignment="1">
      <alignment horizontal="right"/>
    </xf>
    <xf numFmtId="0" fontId="10" fillId="2" borderId="4" xfId="0" applyFont="1" applyFill="1" applyBorder="1" applyAlignment="1">
      <alignment horizontal="right"/>
    </xf>
    <xf numFmtId="165" fontId="0" fillId="8" borderId="3" xfId="1" applyNumberFormat="1" applyFont="1" applyFill="1" applyBorder="1" applyAlignment="1">
      <alignment horizontal="right"/>
    </xf>
    <xf numFmtId="165" fontId="0" fillId="8" borderId="4" xfId="1" applyNumberFormat="1" applyFont="1" applyFill="1" applyBorder="1" applyAlignment="1">
      <alignment horizontal="right"/>
    </xf>
    <xf numFmtId="165" fontId="0" fillId="0" borderId="3" xfId="1" applyNumberFormat="1" applyFont="1" applyBorder="1" applyAlignment="1">
      <alignment horizontal="right"/>
    </xf>
    <xf numFmtId="165" fontId="0" fillId="0" borderId="4" xfId="1" applyNumberFormat="1" applyFont="1" applyBorder="1" applyAlignment="1">
      <alignment horizontal="right"/>
    </xf>
    <xf numFmtId="165" fontId="2" fillId="8" borderId="4" xfId="1" applyNumberFormat="1" applyFont="1" applyFill="1" applyBorder="1" applyAlignment="1">
      <alignment horizontal="right"/>
    </xf>
    <xf numFmtId="0" fontId="10" fillId="2" borderId="4" xfId="0" applyFont="1" applyFill="1" applyBorder="1" applyAlignment="1">
      <alignment horizontal="right" vertical="center" wrapText="1"/>
    </xf>
    <xf numFmtId="0" fontId="4" fillId="3" borderId="2" xfId="0" applyFont="1" applyFill="1" applyBorder="1" applyAlignment="1">
      <alignment horizontal="left" vertical="top"/>
    </xf>
    <xf numFmtId="0" fontId="4" fillId="0" borderId="2" xfId="0" applyFont="1" applyBorder="1" applyAlignment="1">
      <alignment horizontal="left" vertical="top"/>
    </xf>
    <xf numFmtId="0" fontId="0" fillId="0" borderId="0" xfId="0" applyAlignment="1">
      <alignment horizontal="left" vertical="center"/>
    </xf>
    <xf numFmtId="167" fontId="11" fillId="0" borderId="0" xfId="0" applyNumberFormat="1" applyFont="1"/>
    <xf numFmtId="167" fontId="11" fillId="0" borderId="6" xfId="0" applyNumberFormat="1" applyFont="1" applyBorder="1"/>
    <xf numFmtId="167" fontId="11" fillId="0" borderId="0" xfId="1" applyNumberFormat="1" applyFont="1"/>
    <xf numFmtId="43" fontId="30" fillId="0" borderId="0" xfId="0" applyNumberFormat="1" applyFont="1"/>
    <xf numFmtId="43" fontId="0" fillId="0" borderId="0" xfId="0" applyNumberFormat="1"/>
    <xf numFmtId="165" fontId="2" fillId="8" borderId="3" xfId="1" applyNumberFormat="1" applyFont="1" applyFill="1" applyBorder="1" applyAlignment="1">
      <alignment horizontal="right"/>
    </xf>
    <xf numFmtId="164" fontId="30" fillId="0" borderId="0" xfId="0" applyNumberFormat="1" applyFont="1"/>
    <xf numFmtId="167" fontId="4" fillId="3" borderId="4" xfId="0" applyNumberFormat="1" applyFont="1" applyFill="1" applyBorder="1"/>
    <xf numFmtId="168" fontId="30" fillId="0" borderId="0" xfId="0" applyNumberFormat="1" applyFont="1"/>
    <xf numFmtId="169" fontId="0" fillId="0" borderId="0" xfId="0" applyNumberFormat="1"/>
    <xf numFmtId="165" fontId="51" fillId="0" borderId="3" xfId="0" applyNumberFormat="1" applyFont="1" applyBorder="1"/>
    <xf numFmtId="0" fontId="21" fillId="0" borderId="2" xfId="0" applyFont="1" applyBorder="1"/>
    <xf numFmtId="168" fontId="1" fillId="0" borderId="4" xfId="4" applyNumberFormat="1" applyFont="1" applyBorder="1" applyAlignment="1">
      <alignment horizontal="right" vertical="top"/>
    </xf>
    <xf numFmtId="0" fontId="10" fillId="6" borderId="2" xfId="0" applyFont="1" applyFill="1" applyBorder="1" applyAlignment="1">
      <alignment horizontal="left" vertical="center" wrapText="1"/>
    </xf>
    <xf numFmtId="0" fontId="10" fillId="6" borderId="4" xfId="0" applyFont="1" applyFill="1" applyBorder="1" applyAlignment="1">
      <alignment horizontal="right" vertical="center" wrapText="1"/>
    </xf>
    <xf numFmtId="0" fontId="52" fillId="0" borderId="3" xfId="0" applyFont="1" applyBorder="1" applyAlignment="1">
      <alignment vertical="center"/>
    </xf>
    <xf numFmtId="167" fontId="47" fillId="0" borderId="3" xfId="1" applyNumberFormat="1" applyFont="1" applyBorder="1"/>
    <xf numFmtId="0" fontId="53" fillId="10" borderId="3" xfId="0" applyFont="1" applyFill="1" applyBorder="1" applyAlignment="1">
      <alignment vertical="center"/>
    </xf>
    <xf numFmtId="0" fontId="53" fillId="0" borderId="3" xfId="0" applyFont="1" applyBorder="1" applyAlignment="1">
      <alignment vertical="center"/>
    </xf>
    <xf numFmtId="5" fontId="2" fillId="0" borderId="3" xfId="1" applyNumberFormat="1" applyFont="1" applyBorder="1"/>
    <xf numFmtId="5" fontId="0" fillId="10" borderId="3" xfId="1" applyNumberFormat="1" applyFont="1" applyFill="1" applyBorder="1"/>
    <xf numFmtId="5" fontId="0" fillId="0" borderId="3" xfId="1" applyNumberFormat="1" applyFont="1" applyFill="1" applyBorder="1"/>
    <xf numFmtId="0" fontId="54" fillId="0" borderId="0" xfId="0" applyFont="1"/>
    <xf numFmtId="0" fontId="54" fillId="8" borderId="2" xfId="0" applyFont="1" applyFill="1" applyBorder="1"/>
    <xf numFmtId="14" fontId="54" fillId="0" borderId="0" xfId="0" applyNumberFormat="1" applyFont="1" applyAlignment="1">
      <alignment horizontal="left"/>
    </xf>
    <xf numFmtId="0" fontId="7" fillId="0" borderId="0" xfId="0" applyFont="1" applyAlignment="1">
      <alignment horizontal="left" vertical="top" wrapText="1"/>
    </xf>
    <xf numFmtId="14" fontId="30" fillId="0" borderId="8" xfId="0" applyNumberFormat="1" applyFont="1" applyBorder="1" applyAlignment="1">
      <alignment horizontal="left" vertical="top" wrapText="1"/>
    </xf>
    <xf numFmtId="0" fontId="0" fillId="0" borderId="0" xfId="0" applyAlignment="1">
      <alignment horizontal="left" vertical="top" wrapText="1"/>
    </xf>
    <xf numFmtId="0" fontId="49" fillId="0" borderId="0" xfId="0" applyFont="1" applyAlignment="1">
      <alignment horizontal="left" vertical="top" wrapText="1"/>
    </xf>
    <xf numFmtId="0" fontId="52" fillId="0" borderId="0" xfId="0" applyFont="1" applyAlignment="1">
      <alignment horizontal="left" vertical="center"/>
    </xf>
    <xf numFmtId="0" fontId="7" fillId="0" borderId="0" xfId="0" applyFont="1" applyAlignment="1">
      <alignment horizontal="left" vertical="top" wrapText="1"/>
    </xf>
    <xf numFmtId="14" fontId="30" fillId="0" borderId="8" xfId="0" applyNumberFormat="1" applyFont="1" applyBorder="1" applyAlignment="1">
      <alignment horizontal="left" vertical="top" wrapText="1"/>
    </xf>
    <xf numFmtId="0" fontId="2" fillId="0" borderId="3" xfId="0" applyFont="1" applyBorder="1" applyAlignment="1">
      <alignment horizontal="center"/>
    </xf>
    <xf numFmtId="0" fontId="6" fillId="0" borderId="0" xfId="0" applyFont="1" applyAlignment="1">
      <alignment horizontal="left" vertical="top" wrapText="1"/>
    </xf>
    <xf numFmtId="0" fontId="0" fillId="0" borderId="0" xfId="0" applyAlignment="1">
      <alignment horizontal="left" vertical="top" wrapText="1"/>
    </xf>
    <xf numFmtId="0" fontId="8" fillId="0" borderId="0" xfId="0" applyFont="1" applyAlignment="1">
      <alignment horizontal="left" vertical="top" wrapText="1"/>
    </xf>
    <xf numFmtId="0" fontId="21" fillId="0" borderId="0" xfId="0" applyFont="1" applyAlignment="1">
      <alignment horizontal="left" vertical="top" wrapText="1"/>
    </xf>
    <xf numFmtId="0" fontId="18" fillId="0" borderId="0" xfId="0" applyFont="1" applyAlignment="1">
      <alignment horizontal="left" vertical="top" wrapText="1"/>
    </xf>
    <xf numFmtId="0" fontId="36" fillId="0" borderId="0" xfId="0" applyFont="1" applyAlignment="1">
      <alignment horizontal="left" vertical="top" wrapText="1"/>
    </xf>
    <xf numFmtId="0" fontId="16" fillId="0" borderId="0" xfId="0" applyFont="1" applyAlignment="1">
      <alignment horizontal="left" vertical="top" wrapText="1"/>
    </xf>
    <xf numFmtId="0" fontId="9" fillId="0" borderId="0" xfId="2" applyAlignment="1">
      <alignment horizontal="left" vertical="top"/>
    </xf>
    <xf numFmtId="0" fontId="49" fillId="0" borderId="0" xfId="0" applyFont="1" applyAlignment="1">
      <alignment horizontal="left" vertical="top" wrapText="1"/>
    </xf>
    <xf numFmtId="0" fontId="24" fillId="0" borderId="0" xfId="0" applyFont="1" applyAlignment="1">
      <alignment horizontal="left" vertical="top" wrapText="1"/>
    </xf>
    <xf numFmtId="0" fontId="15" fillId="0" borderId="9" xfId="0" applyFont="1" applyBorder="1" applyAlignment="1">
      <alignment horizontal="left" vertical="center" wrapText="1"/>
    </xf>
    <xf numFmtId="0" fontId="30" fillId="0" borderId="0" xfId="0" applyFont="1" applyAlignment="1">
      <alignment wrapText="1"/>
    </xf>
    <xf numFmtId="0" fontId="30" fillId="0" borderId="0" xfId="0" applyFont="1" applyAlignment="1">
      <alignment horizontal="left" vertical="top" wrapText="1"/>
    </xf>
  </cellXfs>
  <cellStyles count="6">
    <cellStyle name="Comma" xfId="3" builtinId="3"/>
    <cellStyle name="Comma 2" xfId="4" xr:uid="{F50714E8-1FA6-4C89-928B-9AD142088830}"/>
    <cellStyle name="Currency" xfId="1" builtinId="4"/>
    <cellStyle name="Hyperlink" xfId="2" builtinId="8"/>
    <cellStyle name="Normal" xfId="0" builtinId="0"/>
    <cellStyle name="Percent" xfId="5"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300404</xdr:colOff>
      <xdr:row>41</xdr:row>
      <xdr:rowOff>14653</xdr:rowOff>
    </xdr:from>
    <xdr:to>
      <xdr:col>6</xdr:col>
      <xdr:colOff>205153</xdr:colOff>
      <xdr:row>45</xdr:row>
      <xdr:rowOff>73270</xdr:rowOff>
    </xdr:to>
    <xdr:sp macro="" textlink="">
      <xdr:nvSpPr>
        <xdr:cNvPr id="2" name="TextBox 1">
          <a:extLst>
            <a:ext uri="{FF2B5EF4-FFF2-40B4-BE49-F238E27FC236}">
              <a16:creationId xmlns:a16="http://schemas.microsoft.com/office/drawing/2014/main" id="{32EE651D-2C70-B128-F27D-8DA3CD73668A}"/>
            </a:ext>
          </a:extLst>
        </xdr:cNvPr>
        <xdr:cNvSpPr txBox="1"/>
      </xdr:nvSpPr>
      <xdr:spPr>
        <a:xfrm>
          <a:off x="5370635" y="8169518"/>
          <a:ext cx="3831980" cy="82061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NOTE: Table</a:t>
          </a:r>
          <a:r>
            <a:rPr lang="en-US" sz="1100" baseline="0"/>
            <a:t> 6 and Table 7 forecasted proceeds will not produce a straight average (arithematic mean) in Table 5, due to the rate of increase in forecasted settlement prices  growing at an exponential, rather than linear, rate. This is expected.</a:t>
          </a:r>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571500</xdr:colOff>
      <xdr:row>202</xdr:row>
      <xdr:rowOff>132521</xdr:rowOff>
    </xdr:from>
    <xdr:to>
      <xdr:col>9</xdr:col>
      <xdr:colOff>2708413</xdr:colOff>
      <xdr:row>206</xdr:row>
      <xdr:rowOff>173934</xdr:rowOff>
    </xdr:to>
    <xdr:sp macro="" textlink="">
      <xdr:nvSpPr>
        <xdr:cNvPr id="2" name="TextBox 1">
          <a:extLst>
            <a:ext uri="{FF2B5EF4-FFF2-40B4-BE49-F238E27FC236}">
              <a16:creationId xmlns:a16="http://schemas.microsoft.com/office/drawing/2014/main" id="{96BC573D-45A1-1624-A7FB-B600335AE7AB}"/>
            </a:ext>
          </a:extLst>
        </xdr:cNvPr>
        <xdr:cNvSpPr txBox="1"/>
      </xdr:nvSpPr>
      <xdr:spPr>
        <a:xfrm>
          <a:off x="8953500" y="42282717"/>
          <a:ext cx="2940326" cy="80341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In the High scenario, beginning with A#12, the price trend increases at annual rate of 5% plus inflation based on the last estimated settlement price that is taken as 'actual', from A#11.</a:t>
          </a:r>
        </a:p>
      </xdr:txBody>
    </xdr:sp>
    <xdr:clientData/>
  </xdr:twoCellAnchor>
  <xdr:twoCellAnchor>
    <xdr:from>
      <xdr:col>8</xdr:col>
      <xdr:colOff>323021</xdr:colOff>
      <xdr:row>118</xdr:row>
      <xdr:rowOff>157370</xdr:rowOff>
    </xdr:from>
    <xdr:to>
      <xdr:col>9</xdr:col>
      <xdr:colOff>2145196</xdr:colOff>
      <xdr:row>123</xdr:row>
      <xdr:rowOff>16565</xdr:rowOff>
    </xdr:to>
    <xdr:sp macro="" textlink="">
      <xdr:nvSpPr>
        <xdr:cNvPr id="3" name="TextBox 2">
          <a:extLst>
            <a:ext uri="{FF2B5EF4-FFF2-40B4-BE49-F238E27FC236}">
              <a16:creationId xmlns:a16="http://schemas.microsoft.com/office/drawing/2014/main" id="{ADF90CCA-305D-64CB-F4C3-08D772290C9E}"/>
            </a:ext>
          </a:extLst>
        </xdr:cNvPr>
        <xdr:cNvSpPr txBox="1"/>
      </xdr:nvSpPr>
      <xdr:spPr>
        <a:xfrm>
          <a:off x="8705021" y="25328218"/>
          <a:ext cx="2625588" cy="81169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In the Low scenario, the estimated settlement prices for A#9, 10, 11 are based Low price in Table 2, then increase at annual rate of 5% plus inflation.</a:t>
          </a:r>
        </a:p>
      </xdr:txBody>
    </xdr:sp>
    <xdr:clientData/>
  </xdr:twoCellAnchor>
  <xdr:twoCellAnchor>
    <xdr:from>
      <xdr:col>8</xdr:col>
      <xdr:colOff>422413</xdr:colOff>
      <xdr:row>34</xdr:row>
      <xdr:rowOff>182217</xdr:rowOff>
    </xdr:from>
    <xdr:to>
      <xdr:col>9</xdr:col>
      <xdr:colOff>2633870</xdr:colOff>
      <xdr:row>40</xdr:row>
      <xdr:rowOff>49695</xdr:rowOff>
    </xdr:to>
    <xdr:sp macro="" textlink="">
      <xdr:nvSpPr>
        <xdr:cNvPr id="4" name="TextBox 3">
          <a:extLst>
            <a:ext uri="{FF2B5EF4-FFF2-40B4-BE49-F238E27FC236}">
              <a16:creationId xmlns:a16="http://schemas.microsoft.com/office/drawing/2014/main" id="{0DC2791B-2268-FDEB-A8CD-56FE05A64C21}"/>
            </a:ext>
          </a:extLst>
        </xdr:cNvPr>
        <xdr:cNvSpPr txBox="1"/>
      </xdr:nvSpPr>
      <xdr:spPr>
        <a:xfrm>
          <a:off x="8804413" y="8373717"/>
          <a:ext cx="3014870" cy="101047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a:solidFill>
                <a:schemeClr val="dk1"/>
              </a:solidFill>
              <a:effectLst/>
              <a:latin typeface="+mn-lt"/>
              <a:ea typeface="+mn-ea"/>
              <a:cs typeface="+mn-cs"/>
            </a:rPr>
            <a:t> In the Baseline forecast, the baseline price is calculated in "Allowance Price Tables" Table 2, and $41.35 is used as the price on which the successive prices are based, increasing each quarter at an annual 5% plus the rate of inflation. </a:t>
          </a:r>
          <a:r>
            <a:rPr lang="en-US"/>
            <a:t> </a:t>
          </a:r>
          <a:endParaRPr lang="en-US" sz="1100"/>
        </a:p>
      </xdr:txBody>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apps.ecology.wa.gov/publications/UIPages/PublicationList.aspx?IndexTypeName=Topic&amp;NameValue=Cap-and-Invest+%e2%80%94+Market+Reports&amp;DocumentTypeName=Publication" TargetMode="External"/><Relationship Id="rId1" Type="http://schemas.openxmlformats.org/officeDocument/2006/relationships/hyperlink" Target="https://ww2.arb.ca.gov/sites/default/files/2020-08/results_summary.pdf" TargetMode="Externa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view.officeapps.live.com/op/view.aspx?src=https%3A%2F%2Fapps.ecology.wa.gov%2Fpublications%2Fothersupplements%2F2302031other.xlsx&amp;wdOrigin=BROWSELINK" TargetMode="External"/><Relationship Id="rId1" Type="http://schemas.openxmlformats.org/officeDocument/2006/relationships/hyperlink" Target="https://content.govdelivery.com/accounts/WAECY/bulletins/37da880"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84404D-8566-40E9-9B67-13EBA071A8E6}">
  <dimension ref="A1:N36"/>
  <sheetViews>
    <sheetView showGridLines="0" zoomScaleNormal="100" workbookViewId="0">
      <selection activeCell="C21" sqref="C21:G24"/>
    </sheetView>
  </sheetViews>
  <sheetFormatPr defaultRowHeight="15" x14ac:dyDescent="0.25"/>
  <cols>
    <col min="1" max="1" width="21.42578125" bestFit="1" customWidth="1"/>
    <col min="2" max="2" width="15.7109375" customWidth="1"/>
    <col min="3" max="3" width="15.28515625" bestFit="1" customWidth="1"/>
    <col min="4" max="6" width="13.7109375" bestFit="1" customWidth="1"/>
    <col min="7" max="7" width="14.28515625" customWidth="1"/>
    <col min="9" max="9" width="14.5703125" customWidth="1"/>
  </cols>
  <sheetData>
    <row r="1" spans="1:14" ht="21" x14ac:dyDescent="0.35">
      <c r="A1" s="1" t="s">
        <v>0</v>
      </c>
    </row>
    <row r="2" spans="1:14" x14ac:dyDescent="0.25">
      <c r="A2" s="75">
        <v>45659</v>
      </c>
      <c r="B2" s="5"/>
      <c r="C2" s="5"/>
      <c r="D2" s="5"/>
      <c r="E2" s="5"/>
      <c r="F2" s="60"/>
      <c r="G2" s="5"/>
      <c r="H2" s="5"/>
      <c r="I2" s="5"/>
      <c r="J2" s="5"/>
    </row>
    <row r="3" spans="1:14" ht="52.5" customHeight="1" x14ac:dyDescent="0.25">
      <c r="A3" s="238" t="s">
        <v>1</v>
      </c>
      <c r="B3" s="238"/>
      <c r="C3" s="238"/>
      <c r="D3" s="238"/>
      <c r="E3" s="238"/>
      <c r="F3" s="238"/>
      <c r="G3" s="238"/>
      <c r="H3" s="115"/>
      <c r="I3" s="115"/>
      <c r="J3" s="115"/>
    </row>
    <row r="4" spans="1:14" x14ac:dyDescent="0.25">
      <c r="A4" s="233"/>
      <c r="B4" s="233"/>
      <c r="C4" s="233"/>
      <c r="D4" s="233"/>
      <c r="E4" s="233"/>
      <c r="F4" s="233"/>
      <c r="G4" s="233"/>
      <c r="H4" s="115"/>
      <c r="I4" s="115"/>
      <c r="J4" s="115"/>
    </row>
    <row r="5" spans="1:14" x14ac:dyDescent="0.25">
      <c r="A5" s="105"/>
      <c r="B5" s="239" t="s">
        <v>2</v>
      </c>
      <c r="C5" s="239"/>
      <c r="D5" s="239"/>
      <c r="E5" s="239"/>
      <c r="F5" s="239"/>
      <c r="G5" s="239"/>
      <c r="H5" s="52"/>
      <c r="I5" s="52"/>
      <c r="J5" s="52"/>
    </row>
    <row r="6" spans="1:14" ht="17.25" x14ac:dyDescent="0.25">
      <c r="A6" s="106" t="s">
        <v>3</v>
      </c>
      <c r="B6" s="107" t="s">
        <v>4</v>
      </c>
      <c r="C6" s="108" t="s">
        <v>5</v>
      </c>
      <c r="D6" s="108" t="s">
        <v>6</v>
      </c>
      <c r="E6" s="108" t="s">
        <v>7</v>
      </c>
      <c r="F6" s="108" t="s">
        <v>8</v>
      </c>
      <c r="G6" s="108" t="s">
        <v>9</v>
      </c>
      <c r="H6" s="52"/>
      <c r="I6" s="133"/>
      <c r="J6" s="52"/>
    </row>
    <row r="7" spans="1:14" x14ac:dyDescent="0.25">
      <c r="A7" s="109" t="s">
        <v>10</v>
      </c>
      <c r="B7" s="154">
        <f>'Appendix B - By Auction Detail'!H24/1000</f>
        <v>1291962.3472799999</v>
      </c>
      <c r="C7" s="154">
        <f>'Allowance Price Tables'!B43/1000</f>
        <v>956086</v>
      </c>
      <c r="D7" s="154">
        <f>'Allowance Price Tables'!B44/1000</f>
        <v>876372</v>
      </c>
      <c r="E7" s="154">
        <f>'Allowance Price Tables'!B45/1000</f>
        <v>766584</v>
      </c>
      <c r="F7" s="154">
        <f>'Allowance Price Tables'!B46/1000</f>
        <v>676196</v>
      </c>
      <c r="G7" s="154">
        <f>'Allowance Price Tables'!B47/1000</f>
        <v>571823</v>
      </c>
      <c r="I7" s="209"/>
      <c r="J7" s="120"/>
      <c r="K7" s="120"/>
      <c r="L7" s="120"/>
      <c r="M7" s="120"/>
      <c r="N7" s="120"/>
    </row>
    <row r="8" spans="1:14" ht="17.25" x14ac:dyDescent="0.25">
      <c r="A8" s="111" t="s">
        <v>11</v>
      </c>
      <c r="B8" s="155">
        <v>356697</v>
      </c>
      <c r="C8" s="155">
        <v>366558</v>
      </c>
      <c r="D8" s="155">
        <v>359117</v>
      </c>
      <c r="E8" s="155">
        <v>359117</v>
      </c>
      <c r="F8" s="155">
        <v>359117</v>
      </c>
      <c r="G8" s="155">
        <v>359117</v>
      </c>
      <c r="I8" s="53"/>
      <c r="J8" s="52"/>
    </row>
    <row r="9" spans="1:14" ht="17.25" x14ac:dyDescent="0.25">
      <c r="A9" s="113" t="s">
        <v>12</v>
      </c>
      <c r="B9" s="156">
        <v>2500</v>
      </c>
      <c r="C9" s="156">
        <v>2500</v>
      </c>
      <c r="D9" s="156">
        <v>10000</v>
      </c>
      <c r="E9" s="156">
        <v>10000</v>
      </c>
      <c r="F9" s="156">
        <v>10000</v>
      </c>
      <c r="G9" s="156">
        <v>10000</v>
      </c>
      <c r="H9" s="52"/>
      <c r="I9" s="52"/>
      <c r="J9" s="52"/>
    </row>
    <row r="10" spans="1:14" ht="17.25" x14ac:dyDescent="0.25">
      <c r="A10" s="111" t="s">
        <v>13</v>
      </c>
      <c r="B10" s="155">
        <f t="shared" ref="B10:G10" si="0">B7-B8-B9</f>
        <v>932765.34727999987</v>
      </c>
      <c r="C10" s="155">
        <f t="shared" si="0"/>
        <v>587028</v>
      </c>
      <c r="D10" s="155">
        <f t="shared" si="0"/>
        <v>507255</v>
      </c>
      <c r="E10" s="155">
        <f t="shared" si="0"/>
        <v>397467</v>
      </c>
      <c r="F10" s="155">
        <f t="shared" si="0"/>
        <v>307079</v>
      </c>
      <c r="G10" s="155">
        <f t="shared" si="0"/>
        <v>202706</v>
      </c>
      <c r="H10" s="52"/>
      <c r="I10" s="61"/>
      <c r="J10" s="52"/>
    </row>
    <row r="11" spans="1:14" x14ac:dyDescent="0.25">
      <c r="A11" s="113"/>
      <c r="B11" s="114"/>
      <c r="C11" s="114"/>
      <c r="D11" s="114"/>
      <c r="E11" s="114"/>
      <c r="F11" s="114"/>
      <c r="G11" s="114"/>
      <c r="H11" s="52"/>
      <c r="I11" s="74"/>
      <c r="J11" s="52"/>
    </row>
    <row r="12" spans="1:14" x14ac:dyDescent="0.25">
      <c r="A12" s="105"/>
      <c r="B12" s="239" t="s">
        <v>14</v>
      </c>
      <c r="C12" s="239"/>
      <c r="D12" s="239"/>
      <c r="E12" s="239"/>
      <c r="F12" s="239"/>
      <c r="G12" s="239"/>
      <c r="H12" s="133"/>
      <c r="J12" s="53"/>
    </row>
    <row r="13" spans="1:14" ht="17.25" x14ac:dyDescent="0.25">
      <c r="A13" s="106" t="s">
        <v>3</v>
      </c>
      <c r="B13" s="194" t="s">
        <v>4</v>
      </c>
      <c r="C13" s="195" t="s">
        <v>5</v>
      </c>
      <c r="D13" s="195" t="s">
        <v>6</v>
      </c>
      <c r="E13" s="195" t="s">
        <v>7</v>
      </c>
      <c r="F13" s="195" t="s">
        <v>8</v>
      </c>
      <c r="G13" s="195" t="s">
        <v>9</v>
      </c>
      <c r="H13" s="52"/>
      <c r="I13" s="52"/>
      <c r="J13" s="52"/>
    </row>
    <row r="14" spans="1:14" x14ac:dyDescent="0.25">
      <c r="A14" s="109" t="s">
        <v>10</v>
      </c>
      <c r="B14" s="154">
        <v>1291962</v>
      </c>
      <c r="C14" s="110">
        <v>972343</v>
      </c>
      <c r="D14" s="110">
        <v>841882</v>
      </c>
      <c r="E14" s="110">
        <v>791906</v>
      </c>
      <c r="F14" s="110">
        <v>771543</v>
      </c>
      <c r="G14" s="110">
        <v>670954</v>
      </c>
      <c r="I14" s="209"/>
      <c r="J14" s="120"/>
      <c r="K14" s="120"/>
      <c r="L14" s="120"/>
      <c r="M14" s="120"/>
      <c r="N14" s="120"/>
    </row>
    <row r="15" spans="1:14" ht="17.25" x14ac:dyDescent="0.25">
      <c r="A15" s="111" t="s">
        <v>11</v>
      </c>
      <c r="B15" s="112">
        <v>356697</v>
      </c>
      <c r="C15" s="112">
        <v>366558</v>
      </c>
      <c r="D15" s="112">
        <v>359117</v>
      </c>
      <c r="E15" s="112">
        <v>359117</v>
      </c>
      <c r="F15" s="112">
        <v>359117</v>
      </c>
      <c r="G15" s="112">
        <v>359117</v>
      </c>
      <c r="I15" s="53"/>
      <c r="J15" s="52"/>
    </row>
    <row r="16" spans="1:14" ht="17.25" x14ac:dyDescent="0.25">
      <c r="A16" s="113" t="s">
        <v>12</v>
      </c>
      <c r="B16" s="114">
        <v>2500</v>
      </c>
      <c r="C16" s="114">
        <v>2500</v>
      </c>
      <c r="D16" s="114">
        <v>10000</v>
      </c>
      <c r="E16" s="114">
        <v>10000</v>
      </c>
      <c r="F16" s="114">
        <v>10000</v>
      </c>
      <c r="G16" s="114">
        <v>10000</v>
      </c>
      <c r="H16" s="52"/>
      <c r="I16" s="52"/>
      <c r="J16" s="52"/>
    </row>
    <row r="17" spans="1:10" ht="17.25" x14ac:dyDescent="0.25">
      <c r="A17" s="111" t="s">
        <v>13</v>
      </c>
      <c r="B17" s="112">
        <v>932765</v>
      </c>
      <c r="C17" s="112">
        <v>603285</v>
      </c>
      <c r="D17" s="112">
        <v>472765</v>
      </c>
      <c r="E17" s="112">
        <v>422789</v>
      </c>
      <c r="F17" s="112">
        <v>402426</v>
      </c>
      <c r="G17" s="112">
        <v>301837</v>
      </c>
      <c r="H17" s="52"/>
      <c r="I17" s="61"/>
      <c r="J17" s="52"/>
    </row>
    <row r="18" spans="1:10" x14ac:dyDescent="0.25">
      <c r="A18" s="52"/>
      <c r="B18" s="56"/>
      <c r="C18" s="56"/>
      <c r="D18" s="56"/>
      <c r="E18" s="56"/>
      <c r="F18" s="52"/>
      <c r="G18" s="52"/>
      <c r="H18" s="52"/>
      <c r="I18" s="52"/>
      <c r="J18" s="52"/>
    </row>
    <row r="19" spans="1:10" x14ac:dyDescent="0.25">
      <c r="A19" s="105"/>
      <c r="B19" s="239" t="s">
        <v>15</v>
      </c>
      <c r="C19" s="239"/>
      <c r="D19" s="239"/>
      <c r="E19" s="239"/>
      <c r="F19" s="239"/>
      <c r="G19" s="239"/>
      <c r="H19" s="5"/>
    </row>
    <row r="20" spans="1:10" ht="17.25" x14ac:dyDescent="0.25">
      <c r="A20" s="106" t="s">
        <v>3</v>
      </c>
      <c r="B20" s="194" t="s">
        <v>4</v>
      </c>
      <c r="C20" s="195" t="s">
        <v>5</v>
      </c>
      <c r="D20" s="195" t="s">
        <v>6</v>
      </c>
      <c r="E20" s="195" t="s">
        <v>7</v>
      </c>
      <c r="F20" s="195" t="s">
        <v>8</v>
      </c>
      <c r="G20" s="195" t="s">
        <v>9</v>
      </c>
    </row>
    <row r="21" spans="1:10" x14ac:dyDescent="0.25">
      <c r="A21" s="222" t="s">
        <v>10</v>
      </c>
      <c r="B21" s="223">
        <f t="shared" ref="B21:G24" si="1">B7-B14</f>
        <v>0.34727999987080693</v>
      </c>
      <c r="C21" s="226">
        <f t="shared" si="1"/>
        <v>-16257</v>
      </c>
      <c r="D21" s="226">
        <f t="shared" si="1"/>
        <v>34490</v>
      </c>
      <c r="E21" s="226">
        <f t="shared" si="1"/>
        <v>-25322</v>
      </c>
      <c r="F21" s="226">
        <f t="shared" si="1"/>
        <v>-95347</v>
      </c>
      <c r="G21" s="226">
        <f t="shared" si="1"/>
        <v>-99131</v>
      </c>
      <c r="H21" s="5"/>
      <c r="I21" s="209"/>
    </row>
    <row r="22" spans="1:10" ht="17.25" x14ac:dyDescent="0.25">
      <c r="A22" s="224" t="s">
        <v>11</v>
      </c>
      <c r="B22" s="112">
        <f t="shared" si="1"/>
        <v>0</v>
      </c>
      <c r="C22" s="227">
        <f t="shared" si="1"/>
        <v>0</v>
      </c>
      <c r="D22" s="227">
        <f t="shared" si="1"/>
        <v>0</v>
      </c>
      <c r="E22" s="227">
        <f t="shared" si="1"/>
        <v>0</v>
      </c>
      <c r="F22" s="227">
        <f t="shared" si="1"/>
        <v>0</v>
      </c>
      <c r="G22" s="227">
        <f t="shared" si="1"/>
        <v>0</v>
      </c>
    </row>
    <row r="23" spans="1:10" ht="17.25" x14ac:dyDescent="0.25">
      <c r="A23" s="225" t="s">
        <v>12</v>
      </c>
      <c r="B23" s="114">
        <f t="shared" si="1"/>
        <v>0</v>
      </c>
      <c r="C23" s="228">
        <f t="shared" si="1"/>
        <v>0</v>
      </c>
      <c r="D23" s="228">
        <f t="shared" si="1"/>
        <v>0</v>
      </c>
      <c r="E23" s="228">
        <f t="shared" si="1"/>
        <v>0</v>
      </c>
      <c r="F23" s="228">
        <f t="shared" si="1"/>
        <v>0</v>
      </c>
      <c r="G23" s="228">
        <f t="shared" si="1"/>
        <v>0</v>
      </c>
    </row>
    <row r="24" spans="1:10" ht="17.25" x14ac:dyDescent="0.25">
      <c r="A24" s="224" t="s">
        <v>13</v>
      </c>
      <c r="B24" s="112">
        <f t="shared" si="1"/>
        <v>0.34727999987080693</v>
      </c>
      <c r="C24" s="227">
        <f t="shared" si="1"/>
        <v>-16257</v>
      </c>
      <c r="D24" s="227">
        <f t="shared" si="1"/>
        <v>34490</v>
      </c>
      <c r="E24" s="227">
        <f t="shared" si="1"/>
        <v>-25322</v>
      </c>
      <c r="F24" s="227">
        <f t="shared" si="1"/>
        <v>-95347</v>
      </c>
      <c r="G24" s="227">
        <f t="shared" si="1"/>
        <v>-99131</v>
      </c>
    </row>
    <row r="25" spans="1:10" x14ac:dyDescent="0.25">
      <c r="A25" s="52"/>
      <c r="B25" s="56"/>
      <c r="C25" s="56"/>
      <c r="D25" s="56"/>
      <c r="E25" s="56"/>
      <c r="F25" s="52"/>
      <c r="G25" s="52"/>
      <c r="H25" s="52"/>
      <c r="I25" s="52"/>
      <c r="J25" s="52"/>
    </row>
    <row r="26" spans="1:10" ht="15" customHeight="1" x14ac:dyDescent="0.25">
      <c r="A26" s="104" t="s">
        <v>16</v>
      </c>
      <c r="B26" s="103"/>
      <c r="C26" s="103"/>
      <c r="D26" s="103"/>
      <c r="E26" s="103"/>
      <c r="F26" s="103"/>
      <c r="G26" s="103"/>
    </row>
    <row r="27" spans="1:10" ht="37.5" customHeight="1" x14ac:dyDescent="0.25">
      <c r="A27" s="237" t="s">
        <v>17</v>
      </c>
      <c r="B27" s="237"/>
      <c r="C27" s="237"/>
      <c r="D27" s="237"/>
      <c r="E27" s="237"/>
      <c r="F27" s="237"/>
      <c r="G27" s="237"/>
    </row>
    <row r="28" spans="1:10" ht="27.75" customHeight="1" x14ac:dyDescent="0.25">
      <c r="A28" s="240" t="s">
        <v>18</v>
      </c>
      <c r="B28" s="240"/>
      <c r="C28" s="240"/>
      <c r="D28" s="240"/>
      <c r="E28" s="240"/>
      <c r="F28" s="240"/>
      <c r="G28" s="240"/>
    </row>
    <row r="29" spans="1:10" ht="50.25" customHeight="1" x14ac:dyDescent="0.25">
      <c r="A29" s="237" t="s">
        <v>19</v>
      </c>
      <c r="B29" s="237"/>
      <c r="C29" s="237"/>
      <c r="D29" s="237"/>
      <c r="E29" s="237"/>
      <c r="F29" s="237"/>
      <c r="G29" s="237"/>
    </row>
    <row r="34" ht="45" customHeight="1" x14ac:dyDescent="0.25"/>
    <row r="35" ht="27.75" customHeight="1" x14ac:dyDescent="0.25"/>
    <row r="36" ht="56.25" customHeight="1" x14ac:dyDescent="0.25"/>
  </sheetData>
  <mergeCells count="7">
    <mergeCell ref="A29:G29"/>
    <mergeCell ref="A3:G3"/>
    <mergeCell ref="B12:G12"/>
    <mergeCell ref="A27:G27"/>
    <mergeCell ref="A28:G28"/>
    <mergeCell ref="B5:G5"/>
    <mergeCell ref="B19:G19"/>
  </mergeCells>
  <pageMargins left="0.7" right="0.7"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CE3981-D215-4C36-AAC3-4EB69829588A}">
  <dimension ref="A1:M66"/>
  <sheetViews>
    <sheetView showGridLines="0" zoomScaleNormal="100" workbookViewId="0">
      <selection activeCell="B2" sqref="B2"/>
    </sheetView>
  </sheetViews>
  <sheetFormatPr defaultRowHeight="15" x14ac:dyDescent="0.25"/>
  <cols>
    <col min="1" max="1" width="34.7109375" customWidth="1"/>
    <col min="2" max="2" width="42.140625" customWidth="1"/>
    <col min="3" max="3" width="21.42578125" customWidth="1"/>
    <col min="4" max="4" width="8.7109375" customWidth="1"/>
    <col min="5" max="5" width="16.42578125" customWidth="1"/>
    <col min="6" max="6" width="12.28515625" customWidth="1"/>
    <col min="7" max="7" width="19" bestFit="1" customWidth="1"/>
    <col min="8" max="8" width="20.7109375" customWidth="1"/>
    <col min="9" max="9" width="19" customWidth="1"/>
    <col min="10" max="11" width="9.140625" customWidth="1"/>
  </cols>
  <sheetData>
    <row r="1" spans="1:11" ht="22.5" customHeight="1" x14ac:dyDescent="0.25">
      <c r="A1" s="242" t="s">
        <v>20</v>
      </c>
      <c r="B1" s="242"/>
      <c r="C1" s="242"/>
      <c r="D1" s="242"/>
      <c r="E1" s="242"/>
      <c r="F1" s="242"/>
      <c r="G1" s="242"/>
      <c r="H1" s="242"/>
    </row>
    <row r="2" spans="1:11" x14ac:dyDescent="0.25">
      <c r="A2" s="75">
        <v>45659</v>
      </c>
      <c r="B2" t="s">
        <v>198</v>
      </c>
      <c r="F2" s="47"/>
    </row>
    <row r="3" spans="1:11" ht="30" customHeight="1" x14ac:dyDescent="0.25">
      <c r="A3" s="241" t="s">
        <v>21</v>
      </c>
      <c r="B3" s="241"/>
      <c r="C3" s="241"/>
      <c r="D3" s="241"/>
      <c r="E3" s="241"/>
      <c r="F3" s="241"/>
    </row>
    <row r="4" spans="1:11" x14ac:dyDescent="0.25">
      <c r="A4" s="2" t="s">
        <v>22</v>
      </c>
    </row>
    <row r="5" spans="1:11" x14ac:dyDescent="0.25">
      <c r="A5" s="17" t="s">
        <v>23</v>
      </c>
      <c r="B5" s="196" t="s">
        <v>24</v>
      </c>
      <c r="C5" s="197" t="s">
        <v>25</v>
      </c>
    </row>
    <row r="6" spans="1:11" x14ac:dyDescent="0.25">
      <c r="A6" s="13" t="s">
        <v>26</v>
      </c>
      <c r="B6" s="198">
        <f>B16</f>
        <v>35.21</v>
      </c>
      <c r="C6" s="199">
        <f>C16</f>
        <v>34.814999999999998</v>
      </c>
      <c r="H6" s="48"/>
    </row>
    <row r="7" spans="1:11" x14ac:dyDescent="0.25">
      <c r="A7" s="14" t="s">
        <v>27</v>
      </c>
      <c r="B7" s="200">
        <f>B25</f>
        <v>47.49</v>
      </c>
      <c r="C7" s="201">
        <f>C25</f>
        <v>35.984999999999999</v>
      </c>
      <c r="H7" s="48"/>
    </row>
    <row r="8" spans="1:11" x14ac:dyDescent="0.25">
      <c r="A8" s="15" t="s">
        <v>28</v>
      </c>
      <c r="B8" s="212">
        <f>AVERAGE(B6:B7)</f>
        <v>41.35</v>
      </c>
      <c r="C8" s="202">
        <f>AVERAGE(C6:C7)</f>
        <v>35.4</v>
      </c>
      <c r="H8" s="141"/>
      <c r="K8" s="69"/>
    </row>
    <row r="9" spans="1:11" x14ac:dyDescent="0.25">
      <c r="B9" s="169"/>
      <c r="C9" s="169"/>
      <c r="H9" s="48"/>
    </row>
    <row r="10" spans="1:11" x14ac:dyDescent="0.25">
      <c r="A10" s="157" t="s">
        <v>29</v>
      </c>
      <c r="B10" s="169"/>
      <c r="C10" s="169"/>
      <c r="H10" s="48"/>
    </row>
    <row r="11" spans="1:11" x14ac:dyDescent="0.25">
      <c r="A11" s="18" t="s">
        <v>23</v>
      </c>
      <c r="B11" s="196" t="s">
        <v>24</v>
      </c>
      <c r="C11" s="197" t="s">
        <v>25</v>
      </c>
      <c r="H11" s="48"/>
    </row>
    <row r="12" spans="1:11" x14ac:dyDescent="0.25">
      <c r="A12" s="13" t="s">
        <v>30</v>
      </c>
      <c r="B12" s="97">
        <v>41.67</v>
      </c>
      <c r="C12" s="98">
        <v>41</v>
      </c>
      <c r="H12" s="48"/>
    </row>
    <row r="13" spans="1:11" x14ac:dyDescent="0.25">
      <c r="A13" s="14" t="s">
        <v>31</v>
      </c>
      <c r="B13" s="99">
        <v>37.020000000000003</v>
      </c>
      <c r="C13" s="100">
        <v>38.35</v>
      </c>
      <c r="H13" s="48"/>
    </row>
    <row r="14" spans="1:11" x14ac:dyDescent="0.25">
      <c r="A14" s="13" t="s">
        <v>32</v>
      </c>
      <c r="B14" s="97">
        <v>30.24</v>
      </c>
      <c r="C14" s="98">
        <v>29.75</v>
      </c>
      <c r="H14" s="48"/>
    </row>
    <row r="15" spans="1:11" x14ac:dyDescent="0.25">
      <c r="A15" s="14" t="s">
        <v>33</v>
      </c>
      <c r="B15" s="134">
        <v>31.91</v>
      </c>
      <c r="C15" s="100">
        <v>30.16</v>
      </c>
      <c r="H15" s="48"/>
    </row>
    <row r="16" spans="1:11" x14ac:dyDescent="0.25">
      <c r="A16" s="15" t="s">
        <v>28</v>
      </c>
      <c r="B16" s="212">
        <f>AVERAGE(B12:B15)</f>
        <v>35.21</v>
      </c>
      <c r="C16" s="101">
        <f>AVERAGE(C12:C15)</f>
        <v>34.814999999999998</v>
      </c>
      <c r="F16" s="69"/>
      <c r="H16" s="141"/>
    </row>
    <row r="17" spans="1:13" x14ac:dyDescent="0.25">
      <c r="A17" s="16" t="s">
        <v>34</v>
      </c>
      <c r="H17" s="48"/>
    </row>
    <row r="18" spans="1:13" x14ac:dyDescent="0.25">
      <c r="H18" s="48"/>
    </row>
    <row r="19" spans="1:13" x14ac:dyDescent="0.25">
      <c r="A19" s="158" t="s">
        <v>35</v>
      </c>
      <c r="H19" s="48"/>
    </row>
    <row r="20" spans="1:13" x14ac:dyDescent="0.25">
      <c r="A20" s="18" t="s">
        <v>23</v>
      </c>
      <c r="B20" s="196" t="s">
        <v>24</v>
      </c>
      <c r="C20" s="197" t="s">
        <v>25</v>
      </c>
      <c r="H20" s="48"/>
    </row>
    <row r="21" spans="1:13" x14ac:dyDescent="0.25">
      <c r="A21" s="13" t="s">
        <v>36</v>
      </c>
      <c r="B21" s="148">
        <v>40.26</v>
      </c>
      <c r="C21" s="149">
        <v>26</v>
      </c>
      <c r="H21" s="48"/>
    </row>
    <row r="22" spans="1:13" x14ac:dyDescent="0.25">
      <c r="A22" s="229" t="s">
        <v>37</v>
      </c>
      <c r="B22" s="150">
        <v>49.45</v>
      </c>
      <c r="C22" s="151"/>
      <c r="H22" s="48"/>
      <c r="L22" s="132"/>
    </row>
    <row r="23" spans="1:13" x14ac:dyDescent="0.25">
      <c r="A23" s="230" t="s">
        <v>38</v>
      </c>
      <c r="B23" s="152">
        <v>49.9</v>
      </c>
      <c r="C23" s="153">
        <v>45.97</v>
      </c>
      <c r="H23" s="48"/>
      <c r="L23" s="132"/>
    </row>
    <row r="24" spans="1:13" x14ac:dyDescent="0.25">
      <c r="A24" s="231" t="s">
        <v>39</v>
      </c>
      <c r="B24" s="150">
        <v>50.35</v>
      </c>
      <c r="C24" s="151"/>
      <c r="H24" s="48"/>
      <c r="L24" s="132"/>
    </row>
    <row r="25" spans="1:13" x14ac:dyDescent="0.25">
      <c r="A25" s="15" t="s">
        <v>28</v>
      </c>
      <c r="B25" s="212">
        <f>AVERAGE(B21:B24)</f>
        <v>47.49</v>
      </c>
      <c r="C25" s="101">
        <f>AVERAGE(C21:C24)</f>
        <v>35.984999999999999</v>
      </c>
      <c r="H25" s="141"/>
      <c r="L25" s="132"/>
    </row>
    <row r="26" spans="1:13" x14ac:dyDescent="0.25">
      <c r="A26" s="16" t="s">
        <v>40</v>
      </c>
      <c r="L26" s="132"/>
    </row>
    <row r="27" spans="1:13" x14ac:dyDescent="0.25">
      <c r="A27" s="75" t="s">
        <v>41</v>
      </c>
      <c r="D27" s="5"/>
      <c r="I27" s="16"/>
    </row>
    <row r="28" spans="1:13" x14ac:dyDescent="0.25">
      <c r="A28" s="75"/>
      <c r="D28" s="5"/>
      <c r="E28" s="5"/>
    </row>
    <row r="29" spans="1:13" ht="19.5" customHeight="1" x14ac:dyDescent="0.25">
      <c r="A29" s="234"/>
      <c r="B29" s="234"/>
      <c r="C29" s="234"/>
      <c r="D29" s="5"/>
      <c r="E29" s="5"/>
      <c r="M29" s="5"/>
    </row>
    <row r="30" spans="1:13" x14ac:dyDescent="0.25">
      <c r="A30" s="2" t="s">
        <v>42</v>
      </c>
      <c r="M30" s="140"/>
    </row>
    <row r="31" spans="1:13" x14ac:dyDescent="0.25">
      <c r="A31" s="19" t="s">
        <v>43</v>
      </c>
      <c r="B31" s="203" t="s">
        <v>44</v>
      </c>
      <c r="M31" s="140"/>
    </row>
    <row r="32" spans="1:13" x14ac:dyDescent="0.25">
      <c r="A32" s="20">
        <v>2023</v>
      </c>
      <c r="B32" s="21">
        <v>4.2000000000000003E-2</v>
      </c>
      <c r="M32" s="140"/>
    </row>
    <row r="33" spans="1:13" x14ac:dyDescent="0.25">
      <c r="A33" s="22">
        <v>2024</v>
      </c>
      <c r="B33" s="23">
        <v>3.2000000000000001E-2</v>
      </c>
      <c r="M33" s="140"/>
    </row>
    <row r="34" spans="1:13" x14ac:dyDescent="0.25">
      <c r="A34" s="20">
        <v>2025</v>
      </c>
      <c r="B34" s="21">
        <v>2.5999999999999999E-2</v>
      </c>
    </row>
    <row r="35" spans="1:13" x14ac:dyDescent="0.25">
      <c r="A35" s="22">
        <v>2026</v>
      </c>
      <c r="B35" s="23">
        <v>2.1000000000000001E-2</v>
      </c>
    </row>
    <row r="36" spans="1:13" x14ac:dyDescent="0.25">
      <c r="A36" s="20">
        <v>2027</v>
      </c>
      <c r="B36" s="21">
        <v>2.4E-2</v>
      </c>
    </row>
    <row r="37" spans="1:13" x14ac:dyDescent="0.25">
      <c r="A37" s="22">
        <v>2028</v>
      </c>
      <c r="B37" s="23">
        <v>2.4E-2</v>
      </c>
    </row>
    <row r="38" spans="1:13" x14ac:dyDescent="0.25">
      <c r="A38" s="20">
        <v>2029</v>
      </c>
      <c r="B38" s="21">
        <v>0.02</v>
      </c>
    </row>
    <row r="40" spans="1:13" x14ac:dyDescent="0.25">
      <c r="B40" s="55"/>
    </row>
    <row r="41" spans="1:13" x14ac:dyDescent="0.25">
      <c r="A41" s="2" t="s">
        <v>45</v>
      </c>
      <c r="B41" s="142"/>
    </row>
    <row r="42" spans="1:13" x14ac:dyDescent="0.25">
      <c r="A42" s="17" t="s">
        <v>46</v>
      </c>
      <c r="B42" s="203" t="s">
        <v>47</v>
      </c>
    </row>
    <row r="43" spans="1:13" x14ac:dyDescent="0.25">
      <c r="A43" s="22">
        <v>2025</v>
      </c>
      <c r="B43" s="143">
        <f>'Appendix B - By Auction Detail'!H38</f>
        <v>956086000</v>
      </c>
      <c r="D43" s="5"/>
    </row>
    <row r="44" spans="1:13" x14ac:dyDescent="0.25">
      <c r="A44" s="20">
        <v>2026</v>
      </c>
      <c r="B44" s="144">
        <f>'Appendix B - By Auction Detail'!H52</f>
        <v>876372000</v>
      </c>
    </row>
    <row r="45" spans="1:13" x14ac:dyDescent="0.25">
      <c r="A45" s="22">
        <v>2027</v>
      </c>
      <c r="B45" s="143">
        <f>'Appendix B - By Auction Detail'!H66</f>
        <v>766584000</v>
      </c>
    </row>
    <row r="46" spans="1:13" x14ac:dyDescent="0.25">
      <c r="A46" s="20">
        <v>2028</v>
      </c>
      <c r="B46" s="144">
        <f>'Appendix B - By Auction Detail'!H80</f>
        <v>676196000</v>
      </c>
    </row>
    <row r="47" spans="1:13" x14ac:dyDescent="0.25">
      <c r="A47" s="22">
        <v>2029</v>
      </c>
      <c r="B47" s="143">
        <f>'Appendix B - By Auction Detail'!H94</f>
        <v>571823000</v>
      </c>
      <c r="C47" s="207"/>
      <c r="D47" s="5"/>
    </row>
    <row r="48" spans="1:13" x14ac:dyDescent="0.25">
      <c r="A48" s="58" t="s">
        <v>48</v>
      </c>
      <c r="B48" s="145">
        <f>SUM(B43:B47)</f>
        <v>3847061000</v>
      </c>
      <c r="C48" s="5"/>
    </row>
    <row r="49" spans="1:4" x14ac:dyDescent="0.25">
      <c r="B49" s="146"/>
      <c r="C49" s="5"/>
    </row>
    <row r="50" spans="1:4" x14ac:dyDescent="0.25">
      <c r="A50" s="2" t="s">
        <v>49</v>
      </c>
      <c r="B50" s="142"/>
      <c r="C50" s="5"/>
    </row>
    <row r="51" spans="1:4" x14ac:dyDescent="0.25">
      <c r="A51" s="17" t="s">
        <v>46</v>
      </c>
      <c r="B51" s="203" t="s">
        <v>47</v>
      </c>
      <c r="C51" s="5"/>
    </row>
    <row r="52" spans="1:4" x14ac:dyDescent="0.25">
      <c r="A52" s="22">
        <v>2025</v>
      </c>
      <c r="B52" s="143">
        <f>'Appendix B - By Auction Detail'!H122</f>
        <v>893641000</v>
      </c>
      <c r="C52" s="5"/>
      <c r="D52" s="5"/>
    </row>
    <row r="53" spans="1:4" x14ac:dyDescent="0.25">
      <c r="A53" s="20">
        <v>2026</v>
      </c>
      <c r="B53" s="144">
        <f>'Appendix B - By Auction Detail'!H136</f>
        <v>760690000</v>
      </c>
      <c r="C53" s="5"/>
    </row>
    <row r="54" spans="1:4" x14ac:dyDescent="0.25">
      <c r="A54" s="22">
        <v>2027</v>
      </c>
      <c r="B54" s="143">
        <f>'Appendix B - By Auction Detail'!H150</f>
        <v>666241000</v>
      </c>
      <c r="C54" s="5"/>
    </row>
    <row r="55" spans="1:4" x14ac:dyDescent="0.25">
      <c r="A55" s="20">
        <v>2028</v>
      </c>
      <c r="B55" s="144">
        <f>'Appendix B - By Auction Detail'!H164</f>
        <v>593270000</v>
      </c>
      <c r="C55" s="5"/>
    </row>
    <row r="56" spans="1:4" x14ac:dyDescent="0.25">
      <c r="A56" s="22">
        <v>2029</v>
      </c>
      <c r="B56" s="143">
        <f>'Appendix B - By Auction Detail'!H178</f>
        <v>505176000</v>
      </c>
      <c r="C56" s="207"/>
      <c r="D56" s="5"/>
    </row>
    <row r="57" spans="1:4" x14ac:dyDescent="0.25">
      <c r="A57" s="57" t="s">
        <v>48</v>
      </c>
      <c r="B57" s="147">
        <f>SUM(B52:B56)</f>
        <v>3419018000</v>
      </c>
      <c r="C57" s="5"/>
    </row>
    <row r="58" spans="1:4" x14ac:dyDescent="0.25">
      <c r="B58" s="142"/>
      <c r="C58" s="5"/>
    </row>
    <row r="59" spans="1:4" x14ac:dyDescent="0.25">
      <c r="A59" s="2" t="s">
        <v>50</v>
      </c>
      <c r="B59" s="142"/>
      <c r="C59" s="5"/>
    </row>
    <row r="60" spans="1:4" x14ac:dyDescent="0.25">
      <c r="A60" s="17" t="s">
        <v>46</v>
      </c>
      <c r="B60" s="203" t="s">
        <v>47</v>
      </c>
      <c r="C60" s="5"/>
    </row>
    <row r="61" spans="1:4" x14ac:dyDescent="0.25">
      <c r="A61" s="22">
        <v>2025</v>
      </c>
      <c r="B61" s="143">
        <f>'Appendix B - By Auction Detail'!H206</f>
        <v>1038280000</v>
      </c>
      <c r="C61" s="5"/>
      <c r="D61" s="5"/>
    </row>
    <row r="62" spans="1:4" x14ac:dyDescent="0.25">
      <c r="A62" s="20">
        <v>2026</v>
      </c>
      <c r="B62" s="144">
        <f>'Appendix B - By Auction Detail'!H220</f>
        <v>1018254000</v>
      </c>
      <c r="C62" s="5"/>
    </row>
    <row r="63" spans="1:4" x14ac:dyDescent="0.25">
      <c r="A63" s="22">
        <v>2027</v>
      </c>
      <c r="B63" s="143">
        <f>'Appendix B - By Auction Detail'!H234</f>
        <v>891171000</v>
      </c>
      <c r="C63" s="208"/>
    </row>
    <row r="64" spans="1:4" x14ac:dyDescent="0.25">
      <c r="A64" s="20">
        <v>2028</v>
      </c>
      <c r="B64" s="144">
        <f>'Appendix B - By Auction Detail'!H248</f>
        <v>792535000</v>
      </c>
      <c r="C64" s="5"/>
    </row>
    <row r="65" spans="1:6" x14ac:dyDescent="0.25">
      <c r="A65" s="22">
        <v>2029</v>
      </c>
      <c r="B65" s="143">
        <f>'Appendix B - By Auction Detail'!H262</f>
        <v>672816000</v>
      </c>
      <c r="C65" s="207"/>
      <c r="D65" s="5"/>
      <c r="E65" s="132"/>
    </row>
    <row r="66" spans="1:6" x14ac:dyDescent="0.25">
      <c r="A66" s="57" t="s">
        <v>48</v>
      </c>
      <c r="B66" s="147">
        <f>SUM(B61:B65)</f>
        <v>4413056000</v>
      </c>
      <c r="F66" s="55"/>
    </row>
  </sheetData>
  <sheetProtection algorithmName="SHA-512" hashValue="oZVDxaaZ/1GzAbAx9pyZu1rBHNwb7goaO+4aIrpyWxu6oGCGkqxUFkKem6WBDlD3t5wMl8HyM/jEcJHWv+m/yg==" saltValue="bJBdUpoA2vlXFDwj3Ad7FA==" spinCount="100000" sheet="1" objects="1" scenarios="1"/>
  <mergeCells count="2">
    <mergeCell ref="A3:F3"/>
    <mergeCell ref="A1:H1"/>
  </mergeCells>
  <hyperlinks>
    <hyperlink ref="A17" r:id="rId1" xr:uid="{28689A35-47E8-43E4-8F37-C65701E4D4C2}"/>
    <hyperlink ref="A26" r:id="rId2" xr:uid="{B2D08083-A7C8-4D62-8FA0-B0E13E8D6CD3}"/>
  </hyperlinks>
  <pageMargins left="0.7" right="0.7" top="0.75" bottom="0.75" header="0.3" footer="0.3"/>
  <pageSetup orientation="landscape"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8E5F8F-94D4-478A-9A4B-B2BE89B2CE96}">
  <dimension ref="A1:K189"/>
  <sheetViews>
    <sheetView showGridLines="0" zoomScaleNormal="100" workbookViewId="0">
      <selection activeCell="B2" sqref="B2"/>
    </sheetView>
  </sheetViews>
  <sheetFormatPr defaultRowHeight="15" x14ac:dyDescent="0.25"/>
  <cols>
    <col min="1" max="1" width="12.7109375" style="166" customWidth="1"/>
    <col min="2" max="2" width="75.85546875" style="169" customWidth="1"/>
    <col min="3" max="3" width="5.28515625" customWidth="1"/>
    <col min="4" max="4" width="16.28515625" customWidth="1"/>
    <col min="5" max="6" width="15.140625" customWidth="1"/>
    <col min="7" max="7" width="14.7109375" customWidth="1"/>
    <col min="8" max="8" width="16.140625" customWidth="1"/>
    <col min="9" max="9" width="12.28515625" bestFit="1" customWidth="1"/>
    <col min="11" max="11" width="11.140625" customWidth="1"/>
  </cols>
  <sheetData>
    <row r="1" spans="1:9" ht="21" x14ac:dyDescent="0.35">
      <c r="A1" s="159" t="s">
        <v>51</v>
      </c>
    </row>
    <row r="2" spans="1:9" x14ac:dyDescent="0.25">
      <c r="A2" s="75">
        <v>45659</v>
      </c>
      <c r="B2" t="s">
        <v>198</v>
      </c>
      <c r="F2" s="47"/>
    </row>
    <row r="3" spans="1:9" ht="15" customHeight="1" x14ac:dyDescent="0.25">
      <c r="A3" s="241" t="s">
        <v>52</v>
      </c>
      <c r="B3" s="241"/>
      <c r="C3" s="241"/>
      <c r="D3" s="241"/>
      <c r="E3" s="241"/>
      <c r="F3" s="241"/>
      <c r="G3" s="241"/>
      <c r="H3" s="241"/>
    </row>
    <row r="4" spans="1:9" x14ac:dyDescent="0.25">
      <c r="A4" s="234"/>
      <c r="B4" s="170"/>
      <c r="F4" s="234"/>
      <c r="G4" s="234"/>
      <c r="H4" s="234"/>
    </row>
    <row r="5" spans="1:9" x14ac:dyDescent="0.25">
      <c r="A5" s="160" t="s">
        <v>53</v>
      </c>
      <c r="B5" s="171"/>
    </row>
    <row r="6" spans="1:9" ht="14.45" customHeight="1" x14ac:dyDescent="0.25">
      <c r="A6" s="161" t="s">
        <v>54</v>
      </c>
      <c r="B6" s="172" t="s">
        <v>55</v>
      </c>
    </row>
    <row r="7" spans="1:9" ht="14.45" customHeight="1" x14ac:dyDescent="0.25">
      <c r="A7" s="65">
        <v>2023</v>
      </c>
      <c r="B7" s="67">
        <v>63288565</v>
      </c>
      <c r="D7" s="210"/>
      <c r="E7" s="211"/>
      <c r="F7" s="5"/>
      <c r="G7" s="5"/>
      <c r="I7" s="11"/>
    </row>
    <row r="8" spans="1:9" ht="14.45" customHeight="1" x14ac:dyDescent="0.25">
      <c r="A8" s="66">
        <v>2024</v>
      </c>
      <c r="B8" s="68">
        <v>58524909</v>
      </c>
      <c r="D8" s="210"/>
      <c r="E8" s="211"/>
      <c r="F8" s="5"/>
      <c r="I8" s="11"/>
    </row>
    <row r="9" spans="1:9" ht="14.45" customHeight="1" x14ac:dyDescent="0.25">
      <c r="A9" s="65">
        <v>2025</v>
      </c>
      <c r="B9" s="67">
        <v>53761254</v>
      </c>
      <c r="D9" s="210"/>
      <c r="E9" s="211"/>
      <c r="F9" s="5"/>
      <c r="I9" s="11"/>
    </row>
    <row r="10" spans="1:9" ht="14.45" customHeight="1" x14ac:dyDescent="0.25">
      <c r="A10" s="66">
        <v>2026</v>
      </c>
      <c r="B10" s="68">
        <v>48997598</v>
      </c>
      <c r="D10" s="210"/>
      <c r="E10" s="211"/>
      <c r="I10" s="11"/>
    </row>
    <row r="11" spans="1:9" ht="14.45" customHeight="1" x14ac:dyDescent="0.25">
      <c r="A11" s="65">
        <v>2027</v>
      </c>
      <c r="B11" s="67">
        <v>44459735</v>
      </c>
      <c r="D11" s="210"/>
      <c r="E11" s="211"/>
      <c r="I11" s="11"/>
    </row>
    <row r="12" spans="1:9" ht="14.45" customHeight="1" x14ac:dyDescent="0.25">
      <c r="A12" s="66">
        <v>2028</v>
      </c>
      <c r="B12" s="68">
        <v>39679085</v>
      </c>
      <c r="D12" s="210"/>
      <c r="E12" s="211"/>
      <c r="I12" s="11"/>
    </row>
    <row r="13" spans="1:9" ht="14.45" customHeight="1" x14ac:dyDescent="0.25">
      <c r="A13" s="65">
        <v>2029</v>
      </c>
      <c r="B13" s="67">
        <v>34898434</v>
      </c>
      <c r="D13" s="210"/>
      <c r="E13" s="211"/>
      <c r="I13" s="11"/>
    </row>
    <row r="14" spans="1:9" ht="14.45" customHeight="1" x14ac:dyDescent="0.25">
      <c r="A14" s="66">
        <v>2030</v>
      </c>
      <c r="B14" s="68">
        <v>30117784</v>
      </c>
      <c r="D14" s="210"/>
      <c r="E14" s="211"/>
      <c r="I14" s="11"/>
    </row>
    <row r="15" spans="1:9" x14ac:dyDescent="0.25">
      <c r="A15" s="65">
        <v>2031</v>
      </c>
      <c r="B15" s="67">
        <v>29693713</v>
      </c>
      <c r="D15" s="210"/>
      <c r="E15" s="211"/>
      <c r="I15" s="11"/>
    </row>
    <row r="16" spans="1:9" ht="15" customHeight="1" x14ac:dyDescent="0.25">
      <c r="A16" s="66">
        <v>2032</v>
      </c>
      <c r="B16" s="68">
        <v>28449643</v>
      </c>
      <c r="D16" s="210"/>
      <c r="E16" s="211"/>
      <c r="F16" s="54"/>
      <c r="G16" s="54"/>
      <c r="H16" s="54"/>
      <c r="I16" s="11"/>
    </row>
    <row r="17" spans="1:9" ht="15" customHeight="1" x14ac:dyDescent="0.25">
      <c r="A17" s="65">
        <v>2033</v>
      </c>
      <c r="B17" s="67">
        <v>27205573</v>
      </c>
      <c r="C17" s="54"/>
      <c r="D17" s="210"/>
      <c r="E17" s="211"/>
      <c r="F17" s="54"/>
      <c r="G17" s="54"/>
      <c r="H17" s="54"/>
      <c r="I17" s="11"/>
    </row>
    <row r="18" spans="1:9" ht="15" customHeight="1" x14ac:dyDescent="0.25">
      <c r="A18" s="250" t="s">
        <v>56</v>
      </c>
      <c r="B18" s="250"/>
      <c r="C18" s="119"/>
      <c r="D18" s="119"/>
      <c r="E18" s="119"/>
      <c r="F18" s="119"/>
      <c r="G18" s="119"/>
      <c r="H18" s="119"/>
    </row>
    <row r="19" spans="1:9" x14ac:dyDescent="0.25">
      <c r="A19" s="162"/>
    </row>
    <row r="20" spans="1:9" x14ac:dyDescent="0.25">
      <c r="A20" s="160" t="s">
        <v>57</v>
      </c>
    </row>
    <row r="21" spans="1:9" ht="14.45" customHeight="1" x14ac:dyDescent="0.25">
      <c r="A21" s="161" t="s">
        <v>54</v>
      </c>
      <c r="B21" s="172" t="s">
        <v>58</v>
      </c>
      <c r="D21" s="135"/>
    </row>
    <row r="22" spans="1:9" ht="14.45" customHeight="1" x14ac:dyDescent="0.25">
      <c r="A22" s="65">
        <v>2023</v>
      </c>
      <c r="B22" s="67">
        <f t="shared" ref="B22:B29" si="0">ROUND(B7*5%,0)</f>
        <v>3164428</v>
      </c>
      <c r="D22" s="210"/>
      <c r="E22" s="211"/>
    </row>
    <row r="23" spans="1:9" ht="14.45" customHeight="1" x14ac:dyDescent="0.25">
      <c r="A23" s="66">
        <v>2024</v>
      </c>
      <c r="B23" s="68">
        <f t="shared" si="0"/>
        <v>2926245</v>
      </c>
      <c r="D23" s="210"/>
      <c r="E23" s="211"/>
    </row>
    <row r="24" spans="1:9" ht="14.45" customHeight="1" x14ac:dyDescent="0.25">
      <c r="A24" s="65">
        <v>2025</v>
      </c>
      <c r="B24" s="67">
        <f t="shared" si="0"/>
        <v>2688063</v>
      </c>
      <c r="D24" s="210"/>
      <c r="E24" s="211"/>
    </row>
    <row r="25" spans="1:9" ht="14.45" customHeight="1" x14ac:dyDescent="0.25">
      <c r="A25" s="66">
        <v>2026</v>
      </c>
      <c r="B25" s="68">
        <f t="shared" si="0"/>
        <v>2449880</v>
      </c>
      <c r="D25" s="210"/>
      <c r="E25" s="211"/>
    </row>
    <row r="26" spans="1:9" ht="14.45" customHeight="1" x14ac:dyDescent="0.25">
      <c r="A26" s="65">
        <v>2027</v>
      </c>
      <c r="B26" s="67">
        <f t="shared" si="0"/>
        <v>2222987</v>
      </c>
      <c r="D26" s="210"/>
      <c r="E26" s="211"/>
    </row>
    <row r="27" spans="1:9" ht="14.45" customHeight="1" x14ac:dyDescent="0.25">
      <c r="A27" s="66">
        <v>2028</v>
      </c>
      <c r="B27" s="68">
        <f t="shared" si="0"/>
        <v>1983954</v>
      </c>
      <c r="D27" s="210"/>
      <c r="E27" s="211"/>
    </row>
    <row r="28" spans="1:9" ht="14.45" customHeight="1" x14ac:dyDescent="0.25">
      <c r="A28" s="65">
        <v>2029</v>
      </c>
      <c r="B28" s="67">
        <f t="shared" si="0"/>
        <v>1744922</v>
      </c>
      <c r="D28" s="210"/>
      <c r="E28" s="211"/>
    </row>
    <row r="29" spans="1:9" ht="14.45" customHeight="1" x14ac:dyDescent="0.25">
      <c r="A29" s="66">
        <v>2030</v>
      </c>
      <c r="B29" s="68">
        <f t="shared" si="0"/>
        <v>1505889</v>
      </c>
      <c r="D29" s="210"/>
      <c r="E29" s="211"/>
    </row>
    <row r="30" spans="1:9" ht="30" customHeight="1" x14ac:dyDescent="0.25">
      <c r="A30" s="246" t="s">
        <v>59</v>
      </c>
      <c r="B30" s="246"/>
      <c r="C30" s="246"/>
      <c r="D30" s="246"/>
      <c r="E30" s="246"/>
      <c r="F30" s="246"/>
      <c r="G30" s="246"/>
      <c r="H30" s="246"/>
    </row>
    <row r="31" spans="1:9" ht="30" customHeight="1" x14ac:dyDescent="0.25">
      <c r="A31" s="246" t="s">
        <v>60</v>
      </c>
      <c r="B31" s="246"/>
      <c r="C31" s="246"/>
      <c r="D31" s="246"/>
      <c r="E31" s="246"/>
      <c r="F31" s="246"/>
      <c r="G31" s="246"/>
      <c r="H31" s="246"/>
    </row>
    <row r="32" spans="1:9" ht="15" customHeight="1" x14ac:dyDescent="0.25">
      <c r="A32" s="163" t="s">
        <v>61</v>
      </c>
      <c r="B32" s="173"/>
      <c r="C32" s="232"/>
      <c r="D32" s="232"/>
      <c r="E32" s="232"/>
      <c r="F32" s="232"/>
      <c r="G32" s="232"/>
      <c r="H32" s="232"/>
    </row>
    <row r="33" spans="1:8" x14ac:dyDescent="0.25">
      <c r="A33" s="232"/>
      <c r="B33" s="173"/>
      <c r="C33" s="232"/>
      <c r="D33" s="232"/>
      <c r="E33" s="232"/>
      <c r="F33" s="232"/>
      <c r="G33" s="232"/>
      <c r="H33" s="232"/>
    </row>
    <row r="34" spans="1:8" x14ac:dyDescent="0.25">
      <c r="A34" s="160" t="s">
        <v>62</v>
      </c>
    </row>
    <row r="35" spans="1:8" ht="14.45" customHeight="1" x14ac:dyDescent="0.25">
      <c r="A35" s="161" t="s">
        <v>54</v>
      </c>
      <c r="B35" s="172" t="s">
        <v>63</v>
      </c>
      <c r="D35" s="135"/>
    </row>
    <row r="36" spans="1:8" ht="14.45" customHeight="1" x14ac:dyDescent="0.25">
      <c r="A36" s="65">
        <v>2023</v>
      </c>
      <c r="B36" s="67">
        <f>ROUND(B7*2%,0)</f>
        <v>1265771</v>
      </c>
      <c r="D36" s="210"/>
      <c r="E36" s="211"/>
    </row>
    <row r="37" spans="1:8" ht="14.45" customHeight="1" x14ac:dyDescent="0.25">
      <c r="A37" s="66">
        <v>2024</v>
      </c>
      <c r="B37" s="68">
        <f>ROUND(B8*2%,0)</f>
        <v>1170498</v>
      </c>
      <c r="D37" s="210"/>
      <c r="E37" s="211"/>
    </row>
    <row r="38" spans="1:8" ht="14.45" customHeight="1" x14ac:dyDescent="0.25">
      <c r="A38" s="65">
        <v>2025</v>
      </c>
      <c r="B38" s="67">
        <f>ROUND(B9*2%,0)</f>
        <v>1075225</v>
      </c>
      <c r="D38" s="210"/>
      <c r="E38" s="211"/>
    </row>
    <row r="39" spans="1:8" ht="14.45" customHeight="1" x14ac:dyDescent="0.25">
      <c r="A39" s="66">
        <v>2026</v>
      </c>
      <c r="B39" s="68">
        <f>ROUND(B10*2%,0)</f>
        <v>979952</v>
      </c>
      <c r="D39" s="210"/>
      <c r="E39" s="211"/>
    </row>
    <row r="40" spans="1:8" ht="14.45" customHeight="1" x14ac:dyDescent="0.25">
      <c r="A40" s="65">
        <v>2027</v>
      </c>
      <c r="B40" s="67">
        <v>0</v>
      </c>
      <c r="D40" s="210"/>
      <c r="E40" s="211"/>
    </row>
    <row r="41" spans="1:8" ht="14.45" customHeight="1" x14ac:dyDescent="0.25">
      <c r="A41" s="66">
        <v>2028</v>
      </c>
      <c r="B41" s="68">
        <v>0</v>
      </c>
      <c r="D41" s="210"/>
      <c r="E41" s="211"/>
    </row>
    <row r="42" spans="1:8" ht="14.45" customHeight="1" x14ac:dyDescent="0.25">
      <c r="A42" s="65">
        <v>2029</v>
      </c>
      <c r="B42" s="67">
        <v>0</v>
      </c>
      <c r="D42" s="210"/>
      <c r="E42" s="211"/>
    </row>
    <row r="43" spans="1:8" ht="14.45" customHeight="1" x14ac:dyDescent="0.25">
      <c r="A43" s="66">
        <v>2030</v>
      </c>
      <c r="B43" s="68">
        <v>0</v>
      </c>
      <c r="C43" s="61"/>
      <c r="D43" s="210"/>
      <c r="E43" s="211"/>
    </row>
    <row r="44" spans="1:8" ht="30" customHeight="1" x14ac:dyDescent="0.25">
      <c r="A44" s="241" t="s">
        <v>64</v>
      </c>
      <c r="B44" s="241"/>
      <c r="C44" s="241"/>
      <c r="D44" s="241"/>
      <c r="E44" s="241"/>
      <c r="F44" s="241"/>
      <c r="G44" s="241"/>
      <c r="H44" s="241"/>
    </row>
    <row r="45" spans="1:8" ht="30.6" customHeight="1" x14ac:dyDescent="0.25">
      <c r="A45" s="237" t="s">
        <v>65</v>
      </c>
      <c r="B45" s="237"/>
      <c r="C45" s="237"/>
      <c r="D45" s="237"/>
      <c r="E45" s="237"/>
      <c r="F45" s="237"/>
      <c r="G45" s="237"/>
      <c r="H45" s="237"/>
    </row>
    <row r="47" spans="1:8" x14ac:dyDescent="0.25">
      <c r="A47" s="160" t="s">
        <v>66</v>
      </c>
    </row>
    <row r="48" spans="1:8" ht="14.45" customHeight="1" x14ac:dyDescent="0.25">
      <c r="A48" s="161" t="s">
        <v>54</v>
      </c>
      <c r="B48" s="172" t="s">
        <v>58</v>
      </c>
      <c r="D48" s="135"/>
      <c r="E48" s="117"/>
    </row>
    <row r="49" spans="1:8" x14ac:dyDescent="0.25">
      <c r="A49" s="65">
        <v>2023</v>
      </c>
      <c r="B49" s="67">
        <f>ROUND(B7*0.33%,0)</f>
        <v>208852</v>
      </c>
      <c r="D49" s="210"/>
      <c r="E49" s="211"/>
    </row>
    <row r="50" spans="1:8" x14ac:dyDescent="0.25">
      <c r="A50" s="66">
        <v>2024</v>
      </c>
      <c r="B50" s="68">
        <f>ROUND(B8*0.33%,0)</f>
        <v>193132</v>
      </c>
      <c r="D50" s="210"/>
      <c r="E50" s="211"/>
    </row>
    <row r="51" spans="1:8" x14ac:dyDescent="0.25">
      <c r="A51" s="65">
        <v>2025</v>
      </c>
      <c r="B51" s="67">
        <f>ROUND(B9*0.33%,0)</f>
        <v>177412</v>
      </c>
      <c r="D51" s="210"/>
      <c r="E51" s="211"/>
    </row>
    <row r="52" spans="1:8" x14ac:dyDescent="0.25">
      <c r="A52" s="66">
        <v>2026</v>
      </c>
      <c r="B52" s="68">
        <f>ROUND(B10*0.33%,0)</f>
        <v>161692</v>
      </c>
      <c r="D52" s="210"/>
      <c r="E52" s="211"/>
    </row>
    <row r="53" spans="1:8" x14ac:dyDescent="0.25">
      <c r="A53" s="65">
        <v>2027</v>
      </c>
      <c r="B53" s="67">
        <v>0</v>
      </c>
      <c r="D53" s="210"/>
      <c r="E53" s="211"/>
    </row>
    <row r="54" spans="1:8" x14ac:dyDescent="0.25">
      <c r="A54" s="66">
        <v>2028</v>
      </c>
      <c r="B54" s="68">
        <v>0</v>
      </c>
      <c r="D54" s="210"/>
      <c r="E54" s="211"/>
    </row>
    <row r="55" spans="1:8" x14ac:dyDescent="0.25">
      <c r="A55" s="65">
        <v>2029</v>
      </c>
      <c r="B55" s="67">
        <v>0</v>
      </c>
      <c r="D55" s="210"/>
      <c r="E55" s="211"/>
    </row>
    <row r="56" spans="1:8" x14ac:dyDescent="0.25">
      <c r="A56" s="66">
        <v>2030</v>
      </c>
      <c r="B56" s="68">
        <v>0</v>
      </c>
      <c r="D56" s="210"/>
      <c r="E56" s="211"/>
    </row>
    <row r="57" spans="1:8" ht="30" customHeight="1" x14ac:dyDescent="0.25">
      <c r="A57" s="243" t="s">
        <v>67</v>
      </c>
      <c r="B57" s="237"/>
      <c r="C57" s="237"/>
      <c r="D57" s="237"/>
      <c r="E57" s="237"/>
      <c r="F57" s="237"/>
      <c r="G57" s="237"/>
      <c r="H57" s="237"/>
    </row>
    <row r="58" spans="1:8" ht="26.45" customHeight="1" x14ac:dyDescent="0.25">
      <c r="A58" s="237" t="s">
        <v>68</v>
      </c>
      <c r="B58" s="237"/>
      <c r="C58" s="237"/>
      <c r="D58" s="237"/>
      <c r="E58" s="237"/>
      <c r="F58" s="237"/>
      <c r="G58" s="237"/>
      <c r="H58" s="8"/>
    </row>
    <row r="59" spans="1:8" x14ac:dyDescent="0.25">
      <c r="D59" s="211"/>
    </row>
    <row r="60" spans="1:8" x14ac:dyDescent="0.25">
      <c r="A60" s="160" t="s">
        <v>69</v>
      </c>
    </row>
    <row r="61" spans="1:8" ht="14.45" customHeight="1" x14ac:dyDescent="0.25">
      <c r="A61" s="161" t="s">
        <v>54</v>
      </c>
      <c r="B61" s="172" t="s">
        <v>58</v>
      </c>
      <c r="D61" s="5"/>
      <c r="E61" s="5"/>
      <c r="F61" s="5"/>
    </row>
    <row r="62" spans="1:8" x14ac:dyDescent="0.25">
      <c r="A62" s="65">
        <v>2023</v>
      </c>
      <c r="B62" s="67">
        <v>9193458</v>
      </c>
      <c r="D62" s="215"/>
      <c r="E62" s="211"/>
      <c r="F62" s="5"/>
    </row>
    <row r="63" spans="1:8" x14ac:dyDescent="0.25">
      <c r="A63" s="66">
        <v>2024</v>
      </c>
      <c r="B63" s="68">
        <v>9330137</v>
      </c>
      <c r="D63" s="215"/>
      <c r="E63" s="211"/>
      <c r="F63" s="73"/>
    </row>
    <row r="64" spans="1:8" x14ac:dyDescent="0.25">
      <c r="A64" s="65">
        <v>2025</v>
      </c>
      <c r="B64" s="67">
        <v>9106894</v>
      </c>
      <c r="D64" s="215"/>
      <c r="E64" s="211"/>
      <c r="F64" s="135"/>
      <c r="G64" s="5"/>
    </row>
    <row r="65" spans="1:10" x14ac:dyDescent="0.25">
      <c r="A65" s="66">
        <v>2026</v>
      </c>
      <c r="B65" s="68">
        <f>ROUND(AVERAGE(B63:B64),0)</f>
        <v>9218516</v>
      </c>
      <c r="D65" s="215"/>
      <c r="E65" s="211"/>
      <c r="F65" s="135"/>
    </row>
    <row r="66" spans="1:10" x14ac:dyDescent="0.25">
      <c r="A66" s="65">
        <v>2027</v>
      </c>
      <c r="B66" s="67">
        <f>ROUND(B65*0.97,0)</f>
        <v>8941961</v>
      </c>
      <c r="C66" s="11"/>
      <c r="D66" s="215"/>
      <c r="E66" s="211"/>
      <c r="F66" s="135"/>
      <c r="G66" s="11"/>
    </row>
    <row r="67" spans="1:10" x14ac:dyDescent="0.25">
      <c r="A67" s="66">
        <v>2028</v>
      </c>
      <c r="B67" s="68">
        <f>B66</f>
        <v>8941961</v>
      </c>
      <c r="D67" s="215"/>
      <c r="E67" s="211"/>
      <c r="F67" s="135"/>
      <c r="G67" s="11"/>
    </row>
    <row r="68" spans="1:10" x14ac:dyDescent="0.25">
      <c r="A68" s="65">
        <v>2029</v>
      </c>
      <c r="B68" s="67">
        <f>B66</f>
        <v>8941961</v>
      </c>
      <c r="D68" s="215"/>
      <c r="E68" s="211"/>
      <c r="F68" s="135"/>
      <c r="G68" s="11"/>
    </row>
    <row r="69" spans="1:10" x14ac:dyDescent="0.25">
      <c r="A69" s="66">
        <v>2030</v>
      </c>
      <c r="B69" s="68">
        <f>B66</f>
        <v>8941961</v>
      </c>
      <c r="D69" s="215"/>
      <c r="E69" s="211"/>
      <c r="F69" s="135"/>
      <c r="G69" s="211"/>
    </row>
    <row r="70" spans="1:10" ht="15" customHeight="1" x14ac:dyDescent="0.25">
      <c r="A70" s="246" t="s">
        <v>70</v>
      </c>
      <c r="B70" s="246"/>
      <c r="C70" s="246"/>
      <c r="D70" s="246"/>
      <c r="E70" s="246"/>
      <c r="F70" s="246"/>
      <c r="G70" s="246"/>
      <c r="H70" s="246"/>
    </row>
    <row r="71" spans="1:10" ht="52.15" customHeight="1" x14ac:dyDescent="0.25">
      <c r="A71" s="246" t="s">
        <v>71</v>
      </c>
      <c r="B71" s="246"/>
      <c r="C71" s="246"/>
      <c r="D71" s="246"/>
      <c r="E71" s="246"/>
      <c r="F71" s="246"/>
      <c r="G71" s="246"/>
      <c r="H71" s="246"/>
      <c r="J71" s="5"/>
    </row>
    <row r="73" spans="1:10" x14ac:dyDescent="0.25">
      <c r="A73" s="160" t="s">
        <v>72</v>
      </c>
      <c r="G73" s="5"/>
    </row>
    <row r="74" spans="1:10" ht="14.45" customHeight="1" x14ac:dyDescent="0.25">
      <c r="A74" s="161" t="s">
        <v>54</v>
      </c>
      <c r="B74" s="172" t="s">
        <v>73</v>
      </c>
      <c r="D74" s="5"/>
      <c r="E74" s="5"/>
      <c r="F74" s="5"/>
      <c r="G74" s="5"/>
    </row>
    <row r="75" spans="1:10" x14ac:dyDescent="0.25">
      <c r="A75" s="65">
        <v>2023</v>
      </c>
      <c r="B75" s="67">
        <f>ROUND(17489792.2132358, 0)</f>
        <v>17489792</v>
      </c>
      <c r="D75" s="210"/>
      <c r="E75" s="211"/>
      <c r="F75" s="73"/>
      <c r="G75" s="137"/>
    </row>
    <row r="76" spans="1:10" x14ac:dyDescent="0.25">
      <c r="A76" s="66">
        <v>2024</v>
      </c>
      <c r="B76" s="68">
        <v>16395535</v>
      </c>
      <c r="D76" s="210"/>
      <c r="E76" s="211"/>
      <c r="F76" s="73"/>
    </row>
    <row r="77" spans="1:10" x14ac:dyDescent="0.25">
      <c r="A77" s="65">
        <v>2025</v>
      </c>
      <c r="B77" s="67">
        <v>15287526</v>
      </c>
      <c r="D77" s="210"/>
      <c r="E77" s="211"/>
      <c r="F77" s="73"/>
    </row>
    <row r="78" spans="1:10" x14ac:dyDescent="0.25">
      <c r="A78" s="66">
        <v>2026</v>
      </c>
      <c r="B78" s="68">
        <v>10302447</v>
      </c>
      <c r="D78" s="210"/>
      <c r="E78" s="211"/>
      <c r="F78" s="73"/>
      <c r="G78" s="11"/>
      <c r="H78" s="5"/>
    </row>
    <row r="79" spans="1:10" x14ac:dyDescent="0.25">
      <c r="A79" s="65">
        <v>2027</v>
      </c>
      <c r="B79" s="67">
        <v>10113231</v>
      </c>
      <c r="D79" s="210"/>
      <c r="E79" s="211"/>
      <c r="F79" s="73"/>
      <c r="G79" s="11"/>
      <c r="H79" s="5"/>
    </row>
    <row r="80" spans="1:10" x14ac:dyDescent="0.25">
      <c r="A80" s="66">
        <v>2028</v>
      </c>
      <c r="B80" s="68">
        <v>9924014</v>
      </c>
      <c r="D80" s="210"/>
      <c r="E80" s="211"/>
      <c r="F80" s="73"/>
      <c r="G80" s="11"/>
      <c r="H80" s="5"/>
    </row>
    <row r="81" spans="1:10" x14ac:dyDescent="0.25">
      <c r="A81" s="65">
        <v>2029</v>
      </c>
      <c r="B81" s="67">
        <v>8708478</v>
      </c>
      <c r="D81" s="210"/>
      <c r="E81" s="211"/>
      <c r="F81" s="73"/>
      <c r="G81" s="11"/>
      <c r="H81" s="5"/>
    </row>
    <row r="82" spans="1:10" x14ac:dyDescent="0.25">
      <c r="A82" s="66">
        <v>2030</v>
      </c>
      <c r="B82" s="68">
        <v>7492941</v>
      </c>
      <c r="D82" s="210"/>
      <c r="E82" s="211"/>
      <c r="F82" s="73"/>
      <c r="G82" s="5"/>
      <c r="H82" s="73"/>
    </row>
    <row r="83" spans="1:10" ht="15" customHeight="1" x14ac:dyDescent="0.25">
      <c r="A83" s="247" t="s">
        <v>74</v>
      </c>
      <c r="B83" s="247"/>
      <c r="C83" s="247"/>
      <c r="D83" s="247"/>
      <c r="E83" s="247"/>
      <c r="F83" s="247"/>
      <c r="G83" s="247"/>
      <c r="H83" s="247"/>
    </row>
    <row r="84" spans="1:10" ht="39" customHeight="1" x14ac:dyDescent="0.25">
      <c r="A84" s="246" t="s">
        <v>75</v>
      </c>
      <c r="B84" s="246"/>
      <c r="C84" s="246"/>
      <c r="D84" s="246"/>
      <c r="E84" s="246"/>
      <c r="F84" s="246"/>
      <c r="G84" s="246"/>
      <c r="H84" s="246"/>
      <c r="J84" s="5"/>
    </row>
    <row r="86" spans="1:10" x14ac:dyDescent="0.25">
      <c r="A86" s="160" t="s">
        <v>76</v>
      </c>
    </row>
    <row r="87" spans="1:10" ht="14.45" customHeight="1" x14ac:dyDescent="0.25">
      <c r="A87" s="161" t="s">
        <v>54</v>
      </c>
      <c r="B87" s="172" t="s">
        <v>58</v>
      </c>
      <c r="D87" s="5"/>
      <c r="E87" s="5"/>
    </row>
    <row r="88" spans="1:10" ht="14.45" customHeight="1" x14ac:dyDescent="0.25">
      <c r="A88" s="65">
        <v>2023</v>
      </c>
      <c r="B88" s="67">
        <v>8059631</v>
      </c>
      <c r="D88" s="210"/>
      <c r="E88" s="211"/>
      <c r="I88" s="11"/>
    </row>
    <row r="89" spans="1:10" ht="14.45" customHeight="1" x14ac:dyDescent="0.25">
      <c r="A89" s="66">
        <v>2024</v>
      </c>
      <c r="B89" s="68">
        <v>7452993</v>
      </c>
      <c r="D89" s="210"/>
      <c r="E89" s="211"/>
      <c r="I89" s="11"/>
    </row>
    <row r="90" spans="1:10" ht="14.45" customHeight="1" x14ac:dyDescent="0.25">
      <c r="A90" s="65">
        <v>2025</v>
      </c>
      <c r="B90" s="67">
        <v>6846354</v>
      </c>
      <c r="D90" s="210"/>
      <c r="E90" s="211"/>
      <c r="I90" s="11"/>
    </row>
    <row r="91" spans="1:10" ht="14.45" customHeight="1" x14ac:dyDescent="0.25">
      <c r="A91" s="66">
        <v>2026</v>
      </c>
      <c r="B91" s="68">
        <v>6239715</v>
      </c>
      <c r="D91" s="210"/>
      <c r="E91" s="211"/>
      <c r="I91" s="11"/>
    </row>
    <row r="92" spans="1:10" ht="14.45" customHeight="1" x14ac:dyDescent="0.25">
      <c r="A92" s="65">
        <v>2027</v>
      </c>
      <c r="B92" s="67">
        <v>5633076</v>
      </c>
      <c r="D92" s="210"/>
      <c r="E92" s="211"/>
      <c r="I92" s="11"/>
    </row>
    <row r="93" spans="1:10" ht="14.45" customHeight="1" x14ac:dyDescent="0.25">
      <c r="A93" s="66">
        <v>2028</v>
      </c>
      <c r="B93" s="68">
        <v>5026437</v>
      </c>
      <c r="D93" s="210"/>
      <c r="E93" s="211"/>
      <c r="I93" s="11"/>
    </row>
    <row r="94" spans="1:10" ht="14.45" customHeight="1" x14ac:dyDescent="0.25">
      <c r="A94" s="65">
        <v>2029</v>
      </c>
      <c r="B94" s="67">
        <v>4419799</v>
      </c>
      <c r="D94" s="210"/>
      <c r="E94" s="211"/>
      <c r="I94" s="11"/>
    </row>
    <row r="95" spans="1:10" ht="14.45" customHeight="1" x14ac:dyDescent="0.25">
      <c r="A95" s="66">
        <v>2030</v>
      </c>
      <c r="B95" s="68">
        <v>3813160</v>
      </c>
      <c r="D95" s="210"/>
      <c r="E95" s="211"/>
      <c r="F95" s="73"/>
      <c r="G95" s="5"/>
      <c r="I95" s="11"/>
    </row>
    <row r="96" spans="1:10" ht="15" customHeight="1" x14ac:dyDescent="0.25">
      <c r="A96" s="246" t="s">
        <v>77</v>
      </c>
      <c r="B96" s="246"/>
      <c r="C96" s="246"/>
      <c r="D96" s="246"/>
      <c r="E96" s="246"/>
      <c r="F96" s="246"/>
      <c r="G96" s="246"/>
      <c r="H96" s="246"/>
    </row>
    <row r="97" spans="1:8" ht="37.5" customHeight="1" x14ac:dyDescent="0.25">
      <c r="A97" s="237" t="s">
        <v>78</v>
      </c>
      <c r="B97" s="237"/>
      <c r="C97" s="237"/>
      <c r="D97" s="237"/>
      <c r="E97" s="237"/>
      <c r="F97" s="237"/>
      <c r="G97" s="237"/>
      <c r="H97" s="237"/>
    </row>
    <row r="98" spans="1:8" ht="15" customHeight="1" x14ac:dyDescent="0.25">
      <c r="A98" s="164"/>
      <c r="B98" s="174"/>
      <c r="C98" s="7"/>
    </row>
    <row r="99" spans="1:8" ht="18" customHeight="1" x14ac:dyDescent="0.25">
      <c r="A99" s="165" t="s">
        <v>79</v>
      </c>
      <c r="B99" s="174"/>
      <c r="C99" s="7"/>
    </row>
    <row r="100" spans="1:8" ht="14.45" customHeight="1" x14ac:dyDescent="0.25">
      <c r="A100" s="161" t="s">
        <v>80</v>
      </c>
      <c r="B100" s="172" t="s">
        <v>81</v>
      </c>
      <c r="C100" s="7"/>
      <c r="D100" s="5"/>
      <c r="E100" s="5"/>
      <c r="F100" s="62"/>
    </row>
    <row r="101" spans="1:8" ht="14.45" customHeight="1" x14ac:dyDescent="0.25">
      <c r="A101" s="65">
        <v>2023</v>
      </c>
      <c r="B101" s="67">
        <f>B88-B113</f>
        <v>1863232</v>
      </c>
      <c r="D101" s="210"/>
      <c r="E101" s="211"/>
      <c r="F101" s="73"/>
    </row>
    <row r="102" spans="1:8" ht="14.45" customHeight="1" x14ac:dyDescent="0.25">
      <c r="A102" s="66">
        <v>2024</v>
      </c>
      <c r="B102" s="68">
        <f>B89-B114</f>
        <v>3188531</v>
      </c>
      <c r="D102" s="210"/>
      <c r="E102" s="211"/>
      <c r="F102" s="73"/>
    </row>
    <row r="103" spans="1:8" ht="14.45" customHeight="1" x14ac:dyDescent="0.25">
      <c r="A103" s="65">
        <v>2025</v>
      </c>
      <c r="B103" s="67">
        <f>ROUNDUP(B90*0.25,0)</f>
        <v>1711589</v>
      </c>
      <c r="D103" s="210"/>
      <c r="E103" s="211"/>
      <c r="F103" s="73"/>
    </row>
    <row r="104" spans="1:8" ht="14.45" customHeight="1" x14ac:dyDescent="0.25">
      <c r="A104" s="66">
        <v>2026</v>
      </c>
      <c r="B104" s="68">
        <f>ROUNDUP(B91*0.2,0)</f>
        <v>1247943</v>
      </c>
      <c r="D104" s="210"/>
      <c r="E104" s="211"/>
      <c r="F104" s="73"/>
    </row>
    <row r="105" spans="1:8" ht="14.45" customHeight="1" x14ac:dyDescent="0.25">
      <c r="A105" s="65">
        <v>2027</v>
      </c>
      <c r="B105" s="67">
        <f>ROUNDUP(B92*0.15,0)</f>
        <v>844962</v>
      </c>
      <c r="D105" s="210"/>
      <c r="E105" s="211"/>
      <c r="F105" s="73"/>
    </row>
    <row r="106" spans="1:8" ht="14.45" customHeight="1" x14ac:dyDescent="0.25">
      <c r="A106" s="66">
        <v>2028</v>
      </c>
      <c r="B106" s="68">
        <f>ROUNDUP(B93*0.1,0)</f>
        <v>502644</v>
      </c>
      <c r="D106" s="210"/>
      <c r="E106" s="211"/>
      <c r="F106" s="73"/>
    </row>
    <row r="107" spans="1:8" ht="14.45" customHeight="1" x14ac:dyDescent="0.25">
      <c r="A107" s="65">
        <v>2029</v>
      </c>
      <c r="B107" s="67">
        <f>ROUNDUP(B94*0.05,0)</f>
        <v>220990</v>
      </c>
      <c r="D107" s="210"/>
      <c r="E107" s="211"/>
      <c r="F107" s="73"/>
    </row>
    <row r="108" spans="1:8" ht="14.45" customHeight="1" x14ac:dyDescent="0.25">
      <c r="A108" s="66">
        <v>2030</v>
      </c>
      <c r="B108" s="68">
        <f>ROUNDUP(B95*0,0)</f>
        <v>0</v>
      </c>
      <c r="D108" s="210"/>
      <c r="E108" s="211"/>
      <c r="F108" s="136"/>
      <c r="G108" s="5"/>
    </row>
    <row r="109" spans="1:8" ht="40.5" customHeight="1" x14ac:dyDescent="0.25">
      <c r="A109" s="243" t="s">
        <v>82</v>
      </c>
      <c r="B109" s="244"/>
      <c r="C109" s="244"/>
      <c r="D109" s="244"/>
      <c r="E109" s="244"/>
      <c r="F109" s="244"/>
      <c r="G109" s="244"/>
      <c r="H109" s="244"/>
    </row>
    <row r="110" spans="1:8" ht="15" customHeight="1" x14ac:dyDescent="0.25">
      <c r="B110" s="175"/>
    </row>
    <row r="111" spans="1:8" x14ac:dyDescent="0.25">
      <c r="A111" s="160" t="s">
        <v>83</v>
      </c>
      <c r="B111" s="176"/>
    </row>
    <row r="112" spans="1:8" ht="14.45" customHeight="1" x14ac:dyDescent="0.25">
      <c r="A112" s="161" t="s">
        <v>80</v>
      </c>
      <c r="B112" s="172" t="s">
        <v>63</v>
      </c>
    </row>
    <row r="113" spans="1:8" x14ac:dyDescent="0.25">
      <c r="A113" s="65">
        <v>2023</v>
      </c>
      <c r="B113" s="67">
        <v>6196399</v>
      </c>
      <c r="D113" s="210"/>
      <c r="E113" s="211"/>
    </row>
    <row r="114" spans="1:8" x14ac:dyDescent="0.25">
      <c r="A114" s="66">
        <v>2024</v>
      </c>
      <c r="B114" s="68">
        <v>4264462</v>
      </c>
      <c r="D114" s="210"/>
      <c r="E114" s="211"/>
    </row>
    <row r="115" spans="1:8" x14ac:dyDescent="0.25">
      <c r="A115" s="65">
        <v>2025</v>
      </c>
      <c r="B115" s="67">
        <f t="shared" ref="B115:B120" si="1">B90-B103</f>
        <v>5134765</v>
      </c>
      <c r="D115" s="210"/>
      <c r="E115" s="211"/>
    </row>
    <row r="116" spans="1:8" x14ac:dyDescent="0.25">
      <c r="A116" s="66">
        <v>2026</v>
      </c>
      <c r="B116" s="68">
        <f t="shared" si="1"/>
        <v>4991772</v>
      </c>
      <c r="D116" s="210"/>
      <c r="E116" s="211"/>
    </row>
    <row r="117" spans="1:8" x14ac:dyDescent="0.25">
      <c r="A117" s="65">
        <v>2027</v>
      </c>
      <c r="B117" s="67">
        <f t="shared" si="1"/>
        <v>4788114</v>
      </c>
      <c r="D117" s="210"/>
      <c r="E117" s="211"/>
    </row>
    <row r="118" spans="1:8" x14ac:dyDescent="0.25">
      <c r="A118" s="66">
        <v>2028</v>
      </c>
      <c r="B118" s="68">
        <f t="shared" si="1"/>
        <v>4523793</v>
      </c>
      <c r="D118" s="210"/>
      <c r="E118" s="211"/>
    </row>
    <row r="119" spans="1:8" x14ac:dyDescent="0.25">
      <c r="A119" s="65">
        <v>2029</v>
      </c>
      <c r="B119" s="67">
        <f t="shared" si="1"/>
        <v>4198809</v>
      </c>
      <c r="D119" s="210"/>
      <c r="E119" s="211"/>
    </row>
    <row r="120" spans="1:8" x14ac:dyDescent="0.25">
      <c r="A120" s="66">
        <v>2030</v>
      </c>
      <c r="B120" s="68">
        <f t="shared" si="1"/>
        <v>3813160</v>
      </c>
      <c r="D120" s="210"/>
      <c r="E120" s="211"/>
    </row>
    <row r="121" spans="1:8" ht="30" customHeight="1" x14ac:dyDescent="0.25">
      <c r="A121" s="243" t="s">
        <v>84</v>
      </c>
      <c r="B121" s="244"/>
      <c r="C121" s="244"/>
      <c r="D121" s="244"/>
      <c r="E121" s="244"/>
      <c r="F121" s="244"/>
      <c r="G121" s="244"/>
      <c r="H121" s="244"/>
    </row>
    <row r="122" spans="1:8" x14ac:dyDescent="0.25">
      <c r="B122" s="175"/>
    </row>
    <row r="123" spans="1:8" x14ac:dyDescent="0.25">
      <c r="A123" s="167" t="s">
        <v>85</v>
      </c>
      <c r="B123" s="177"/>
    </row>
    <row r="124" spans="1:8" ht="14.45" customHeight="1" x14ac:dyDescent="0.25">
      <c r="A124" s="161" t="s">
        <v>86</v>
      </c>
      <c r="B124" s="172" t="s">
        <v>87</v>
      </c>
    </row>
    <row r="125" spans="1:8" ht="14.45" customHeight="1" x14ac:dyDescent="0.25">
      <c r="A125" s="65">
        <v>2023</v>
      </c>
      <c r="B125" s="67">
        <v>0</v>
      </c>
      <c r="D125" s="210"/>
      <c r="E125" s="211"/>
    </row>
    <row r="126" spans="1:8" ht="14.45" customHeight="1" x14ac:dyDescent="0.25">
      <c r="A126" s="66">
        <v>2024</v>
      </c>
      <c r="B126" s="68">
        <v>0</v>
      </c>
      <c r="D126" s="210"/>
      <c r="E126" s="211"/>
    </row>
    <row r="127" spans="1:8" ht="14.45" customHeight="1" x14ac:dyDescent="0.25">
      <c r="A127" s="65">
        <v>2025</v>
      </c>
      <c r="B127" s="67">
        <v>26280</v>
      </c>
      <c r="D127" s="210"/>
      <c r="E127" s="211"/>
      <c r="F127" s="73"/>
    </row>
    <row r="128" spans="1:8" ht="14.45" customHeight="1" x14ac:dyDescent="0.25">
      <c r="A128" s="66">
        <v>2026</v>
      </c>
      <c r="B128" s="68">
        <f t="shared" ref="B128:B132" si="2">ROUND((B8-B23-B37-B50-B63-B76)*0.03,0)</f>
        <v>855281</v>
      </c>
      <c r="D128" s="210"/>
      <c r="E128" s="211"/>
      <c r="F128" s="73"/>
    </row>
    <row r="129" spans="1:9" ht="14.45" customHeight="1" x14ac:dyDescent="0.25">
      <c r="A129" s="65">
        <v>2027</v>
      </c>
      <c r="B129" s="67">
        <f t="shared" si="2"/>
        <v>762784</v>
      </c>
      <c r="D129" s="210"/>
      <c r="E129" s="211"/>
      <c r="F129" s="73"/>
    </row>
    <row r="130" spans="1:9" ht="14.45" customHeight="1" x14ac:dyDescent="0.25">
      <c r="A130" s="66">
        <v>2028</v>
      </c>
      <c r="B130" s="68">
        <f t="shared" si="2"/>
        <v>776553</v>
      </c>
      <c r="D130" s="210"/>
      <c r="E130" s="211"/>
      <c r="F130" s="73"/>
    </row>
    <row r="131" spans="1:9" ht="14.45" customHeight="1" x14ac:dyDescent="0.25">
      <c r="A131" s="65">
        <v>2029</v>
      </c>
      <c r="B131" s="67">
        <f t="shared" si="2"/>
        <v>695447</v>
      </c>
      <c r="D131" s="210"/>
      <c r="E131" s="211"/>
      <c r="F131" s="73"/>
    </row>
    <row r="132" spans="1:9" ht="14.45" customHeight="1" x14ac:dyDescent="0.25">
      <c r="A132" s="66">
        <v>2030</v>
      </c>
      <c r="B132" s="68">
        <f t="shared" si="2"/>
        <v>564875</v>
      </c>
      <c r="C132" s="5"/>
      <c r="D132" s="210"/>
      <c r="E132" s="211"/>
      <c r="F132" s="73"/>
    </row>
    <row r="133" spans="1:9" s="4" customFormat="1" ht="15" customHeight="1" x14ac:dyDescent="0.25">
      <c r="A133" s="237" t="s">
        <v>88</v>
      </c>
      <c r="B133" s="237"/>
      <c r="C133" s="237"/>
      <c r="D133" s="237"/>
      <c r="E133" s="237"/>
      <c r="F133" s="237"/>
      <c r="G133" s="237"/>
      <c r="H133" s="237"/>
      <c r="I133" s="5"/>
    </row>
    <row r="134" spans="1:9" ht="42" customHeight="1" x14ac:dyDescent="0.25">
      <c r="A134" s="246" t="s">
        <v>89</v>
      </c>
      <c r="B134" s="246"/>
      <c r="C134" s="246"/>
      <c r="D134" s="246"/>
      <c r="E134" s="246"/>
      <c r="F134" s="246"/>
      <c r="G134" s="246"/>
      <c r="H134" s="246"/>
    </row>
    <row r="135" spans="1:9" ht="29.45" customHeight="1" x14ac:dyDescent="0.25">
      <c r="A135" s="237" t="s">
        <v>90</v>
      </c>
      <c r="B135" s="237"/>
      <c r="C135" s="237"/>
      <c r="D135" s="237"/>
      <c r="E135" s="237"/>
      <c r="F135" s="237"/>
      <c r="G135" s="237"/>
      <c r="H135" s="237"/>
    </row>
    <row r="136" spans="1:9" x14ac:dyDescent="0.25">
      <c r="A136" s="237" t="s">
        <v>91</v>
      </c>
      <c r="B136" s="237"/>
      <c r="C136" s="237"/>
      <c r="D136" s="237"/>
      <c r="E136" s="237"/>
      <c r="F136" s="237"/>
      <c r="G136" s="237"/>
      <c r="H136" s="237"/>
    </row>
    <row r="137" spans="1:9" ht="27" customHeight="1" x14ac:dyDescent="0.25">
      <c r="A137" s="237" t="s">
        <v>92</v>
      </c>
      <c r="B137" s="237"/>
      <c r="C137" s="237"/>
      <c r="D137" s="237"/>
      <c r="E137" s="237"/>
      <c r="F137" s="237"/>
      <c r="G137" s="237"/>
      <c r="H137" s="237"/>
    </row>
    <row r="138" spans="1:9" ht="15" customHeight="1" x14ac:dyDescent="0.25">
      <c r="A138" s="237" t="s">
        <v>93</v>
      </c>
      <c r="B138" s="237"/>
      <c r="C138" s="237"/>
      <c r="D138" s="237"/>
      <c r="E138" s="237"/>
      <c r="F138" s="237"/>
      <c r="G138" s="237"/>
      <c r="H138" s="237"/>
    </row>
    <row r="139" spans="1:9" x14ac:dyDescent="0.25">
      <c r="A139" s="237" t="s">
        <v>94</v>
      </c>
      <c r="B139" s="237"/>
      <c r="C139" s="237"/>
      <c r="D139" s="237"/>
      <c r="E139" s="237"/>
      <c r="F139" s="237"/>
      <c r="G139" s="237"/>
      <c r="H139" s="237"/>
    </row>
    <row r="140" spans="1:9" ht="15" customHeight="1" x14ac:dyDescent="0.25">
      <c r="A140" s="237" t="s">
        <v>95</v>
      </c>
      <c r="B140" s="237"/>
      <c r="C140" s="237"/>
      <c r="D140" s="237"/>
      <c r="E140" s="237"/>
      <c r="F140" s="237"/>
      <c r="G140" s="237"/>
      <c r="H140" s="237"/>
    </row>
    <row r="141" spans="1:9" ht="18" customHeight="1" x14ac:dyDescent="0.25">
      <c r="A141" s="168"/>
      <c r="B141" s="178"/>
      <c r="C141" s="6"/>
      <c r="D141" s="6"/>
      <c r="E141" s="6"/>
      <c r="F141" s="6"/>
    </row>
    <row r="142" spans="1:9" ht="18" customHeight="1" x14ac:dyDescent="0.25">
      <c r="A142" s="160" t="s">
        <v>96</v>
      </c>
      <c r="B142" s="171"/>
    </row>
    <row r="143" spans="1:9" x14ac:dyDescent="0.25">
      <c r="A143" s="220" t="s">
        <v>80</v>
      </c>
      <c r="B143" s="221" t="s">
        <v>63</v>
      </c>
    </row>
    <row r="144" spans="1:9" ht="14.45" customHeight="1" x14ac:dyDescent="0.25">
      <c r="A144" s="65">
        <v>2023</v>
      </c>
      <c r="B144" s="67">
        <f>ROUND(B7-SUM(B22,B36,B49,B62,B75,B101),0)</f>
        <v>30103032</v>
      </c>
      <c r="D144" s="210"/>
      <c r="E144" s="210"/>
      <c r="F144" s="211"/>
      <c r="G144" s="73"/>
    </row>
    <row r="145" spans="1:8" ht="14.45" customHeight="1" x14ac:dyDescent="0.25">
      <c r="A145" s="66">
        <v>2024</v>
      </c>
      <c r="B145" s="68">
        <f>ROUND(B8-SUM(B23,B37,B50,B63,B76,B102),0)</f>
        <v>25320831</v>
      </c>
      <c r="D145" s="210"/>
      <c r="E145" s="210"/>
      <c r="F145" s="211"/>
      <c r="G145" s="73"/>
    </row>
    <row r="146" spans="1:8" ht="14.45" customHeight="1" x14ac:dyDescent="0.25">
      <c r="A146" s="65">
        <v>2025</v>
      </c>
      <c r="B146" s="67">
        <f>ROUND(B9-SUM(B24,B38,B51,B64,B77,B103),0)</f>
        <v>23714545</v>
      </c>
      <c r="D146" s="210"/>
      <c r="E146" s="210"/>
      <c r="F146" s="211"/>
      <c r="G146" s="73"/>
    </row>
    <row r="147" spans="1:8" ht="14.45" customHeight="1" x14ac:dyDescent="0.25">
      <c r="A147" s="66">
        <v>2026</v>
      </c>
      <c r="B147" s="68">
        <v>19762466</v>
      </c>
      <c r="D147" s="210"/>
      <c r="E147" s="210"/>
      <c r="F147" s="211"/>
      <c r="G147" s="73"/>
    </row>
    <row r="148" spans="1:8" ht="14.45" customHeight="1" x14ac:dyDescent="0.25">
      <c r="A148" s="65">
        <v>2027</v>
      </c>
      <c r="B148" s="67">
        <v>17718228</v>
      </c>
      <c r="D148" s="210"/>
      <c r="E148" s="210"/>
      <c r="F148" s="211"/>
      <c r="G148" s="73"/>
    </row>
    <row r="149" spans="1:8" ht="14.45" customHeight="1" x14ac:dyDescent="0.25">
      <c r="A149" s="66">
        <v>2028</v>
      </c>
      <c r="B149" s="68">
        <v>14195878</v>
      </c>
      <c r="D149" s="210"/>
      <c r="E149" s="210"/>
      <c r="F149" s="211"/>
      <c r="G149" s="73"/>
    </row>
    <row r="150" spans="1:8" ht="14.45" customHeight="1" x14ac:dyDescent="0.25">
      <c r="A150" s="65">
        <v>2029</v>
      </c>
      <c r="B150" s="67">
        <v>11639185</v>
      </c>
      <c r="D150" s="210"/>
      <c r="E150" s="210"/>
      <c r="F150" s="211"/>
      <c r="G150" s="73"/>
    </row>
    <row r="151" spans="1:8" ht="14.45" customHeight="1" x14ac:dyDescent="0.25">
      <c r="A151" s="66">
        <v>2030</v>
      </c>
      <c r="B151" s="68">
        <v>9021828</v>
      </c>
      <c r="D151" s="210"/>
      <c r="E151" s="210"/>
      <c r="F151" s="211"/>
      <c r="G151" s="73"/>
      <c r="H151" s="11"/>
    </row>
    <row r="152" spans="1:8" ht="37.5" customHeight="1" x14ac:dyDescent="0.25">
      <c r="A152" s="245" t="s">
        <v>97</v>
      </c>
      <c r="B152" s="245"/>
      <c r="C152" s="245"/>
      <c r="D152" s="245"/>
      <c r="E152" s="245"/>
      <c r="F152" s="245"/>
      <c r="G152" s="245"/>
      <c r="H152" s="245"/>
    </row>
    <row r="153" spans="1:8" ht="15" customHeight="1" x14ac:dyDescent="0.25">
      <c r="B153" s="175"/>
    </row>
    <row r="154" spans="1:8" x14ac:dyDescent="0.25">
      <c r="A154" s="160" t="s">
        <v>98</v>
      </c>
    </row>
    <row r="155" spans="1:8" ht="14.45" customHeight="1" x14ac:dyDescent="0.25">
      <c r="A155" s="161" t="s">
        <v>54</v>
      </c>
      <c r="B155" s="172" t="s">
        <v>81</v>
      </c>
    </row>
    <row r="156" spans="1:8" ht="14.45" customHeight="1" x14ac:dyDescent="0.25">
      <c r="A156" s="65">
        <v>2023</v>
      </c>
      <c r="B156" s="67">
        <f t="shared" ref="B156:B163" si="3">B144-B125</f>
        <v>30103032</v>
      </c>
      <c r="D156" s="210"/>
      <c r="E156" s="211"/>
    </row>
    <row r="157" spans="1:8" ht="14.45" customHeight="1" x14ac:dyDescent="0.25">
      <c r="A157" s="66">
        <v>2024</v>
      </c>
      <c r="B157" s="68">
        <f t="shared" si="3"/>
        <v>25320831</v>
      </c>
      <c r="D157" s="210"/>
      <c r="E157" s="211"/>
      <c r="G157" s="216"/>
      <c r="H157" s="216"/>
    </row>
    <row r="158" spans="1:8" ht="14.45" customHeight="1" x14ac:dyDescent="0.25">
      <c r="A158" s="65">
        <v>2025</v>
      </c>
      <c r="B158" s="67">
        <f t="shared" si="3"/>
        <v>23688265</v>
      </c>
      <c r="D158" s="210"/>
      <c r="E158" s="211"/>
      <c r="G158" s="216"/>
    </row>
    <row r="159" spans="1:8" ht="14.45" customHeight="1" x14ac:dyDescent="0.25">
      <c r="A159" s="66">
        <v>2026</v>
      </c>
      <c r="B159" s="68">
        <f t="shared" si="3"/>
        <v>18907185</v>
      </c>
      <c r="D159" s="210"/>
      <c r="E159" s="211"/>
    </row>
    <row r="160" spans="1:8" ht="14.45" customHeight="1" x14ac:dyDescent="0.25">
      <c r="A160" s="65">
        <v>2027</v>
      </c>
      <c r="B160" s="67">
        <f t="shared" si="3"/>
        <v>16955444</v>
      </c>
      <c r="D160" s="210"/>
      <c r="E160" s="211"/>
    </row>
    <row r="161" spans="1:11" ht="14.45" customHeight="1" x14ac:dyDescent="0.25">
      <c r="A161" s="66">
        <v>2028</v>
      </c>
      <c r="B161" s="68">
        <f t="shared" si="3"/>
        <v>13419325</v>
      </c>
      <c r="D161" s="210"/>
      <c r="E161" s="211"/>
    </row>
    <row r="162" spans="1:11" ht="14.45" customHeight="1" x14ac:dyDescent="0.25">
      <c r="A162" s="65">
        <v>2029</v>
      </c>
      <c r="B162" s="67">
        <f t="shared" si="3"/>
        <v>10943738</v>
      </c>
      <c r="D162" s="210"/>
      <c r="E162" s="211"/>
    </row>
    <row r="163" spans="1:11" ht="14.45" customHeight="1" x14ac:dyDescent="0.25">
      <c r="A163" s="66">
        <v>2030</v>
      </c>
      <c r="B163" s="68">
        <f t="shared" si="3"/>
        <v>8456953</v>
      </c>
      <c r="D163" s="210"/>
      <c r="E163" s="211"/>
    </row>
    <row r="164" spans="1:11" ht="25.9" customHeight="1" x14ac:dyDescent="0.25">
      <c r="A164" s="249" t="s">
        <v>99</v>
      </c>
      <c r="B164" s="249"/>
      <c r="C164" s="249"/>
      <c r="D164" s="249"/>
      <c r="E164" s="249"/>
      <c r="F164" s="249"/>
      <c r="G164" s="249"/>
    </row>
    <row r="166" spans="1:11" x14ac:dyDescent="0.25">
      <c r="A166" s="236" t="s">
        <v>100</v>
      </c>
    </row>
    <row r="167" spans="1:11" ht="14.45" customHeight="1" x14ac:dyDescent="0.25">
      <c r="A167" s="161" t="s">
        <v>54</v>
      </c>
      <c r="B167" s="172" t="s">
        <v>63</v>
      </c>
    </row>
    <row r="168" spans="1:11" ht="14.45" customHeight="1" x14ac:dyDescent="0.25">
      <c r="A168" s="65">
        <v>2023</v>
      </c>
      <c r="B168" s="67">
        <f>ROUND(B10*0.1,0)</f>
        <v>4899760</v>
      </c>
      <c r="D168" s="210"/>
      <c r="E168" s="211"/>
    </row>
    <row r="169" spans="1:11" ht="14.45" customHeight="1" x14ac:dyDescent="0.25">
      <c r="A169" s="66">
        <v>2024</v>
      </c>
      <c r="B169" s="219">
        <f>ROUND(B11*0.1,0)-906141</f>
        <v>3539833</v>
      </c>
      <c r="C169" s="77"/>
      <c r="D169" s="210"/>
      <c r="E169" s="211"/>
    </row>
    <row r="170" spans="1:11" ht="14.45" customHeight="1" x14ac:dyDescent="0.25">
      <c r="A170" s="65">
        <v>2025</v>
      </c>
      <c r="B170" s="67">
        <f t="shared" ref="B170:B175" si="4">ROUND(B12*0.1,0)</f>
        <v>3967909</v>
      </c>
      <c r="D170" s="210"/>
      <c r="E170" s="211"/>
      <c r="K170" s="11"/>
    </row>
    <row r="171" spans="1:11" ht="14.45" customHeight="1" x14ac:dyDescent="0.25">
      <c r="A171" s="66">
        <v>2026</v>
      </c>
      <c r="B171" s="68">
        <f t="shared" si="4"/>
        <v>3489843</v>
      </c>
      <c r="D171" s="210"/>
      <c r="E171" s="211"/>
    </row>
    <row r="172" spans="1:11" ht="14.45" customHeight="1" x14ac:dyDescent="0.25">
      <c r="A172" s="65">
        <v>2027</v>
      </c>
      <c r="B172" s="67">
        <f t="shared" si="4"/>
        <v>3011778</v>
      </c>
      <c r="D172" s="210"/>
      <c r="E172" s="211"/>
    </row>
    <row r="173" spans="1:11" ht="14.45" customHeight="1" x14ac:dyDescent="0.25">
      <c r="A173" s="66">
        <v>2028</v>
      </c>
      <c r="B173" s="68">
        <f t="shared" si="4"/>
        <v>2969371</v>
      </c>
      <c r="D173" s="210"/>
      <c r="E173" s="211"/>
    </row>
    <row r="174" spans="1:11" ht="14.45" customHeight="1" x14ac:dyDescent="0.25">
      <c r="A174" s="65">
        <v>2029</v>
      </c>
      <c r="B174" s="67">
        <f t="shared" si="4"/>
        <v>2844964</v>
      </c>
      <c r="D174" s="210"/>
      <c r="E174" s="211"/>
    </row>
    <row r="175" spans="1:11" ht="14.45" customHeight="1" x14ac:dyDescent="0.25">
      <c r="A175" s="66">
        <v>2030</v>
      </c>
      <c r="B175" s="68">
        <f t="shared" si="4"/>
        <v>2720557</v>
      </c>
      <c r="D175" s="210"/>
      <c r="E175" s="211"/>
    </row>
    <row r="176" spans="1:11" ht="15" customHeight="1" x14ac:dyDescent="0.25">
      <c r="A176" s="248" t="s">
        <v>101</v>
      </c>
      <c r="B176" s="248"/>
      <c r="C176" s="248"/>
      <c r="D176" s="248"/>
      <c r="E176" s="248"/>
      <c r="F176" s="248"/>
      <c r="G176" s="248"/>
      <c r="H176" s="248"/>
    </row>
    <row r="177" spans="1:8" ht="63.6" customHeight="1" x14ac:dyDescent="0.25">
      <c r="A177" s="248" t="s">
        <v>102</v>
      </c>
      <c r="B177" s="248"/>
      <c r="C177" s="248"/>
      <c r="D177" s="248"/>
      <c r="E177" s="248"/>
      <c r="F177" s="248"/>
      <c r="G177" s="235"/>
      <c r="H177" s="235"/>
    </row>
    <row r="179" spans="1:8" x14ac:dyDescent="0.25">
      <c r="A179" s="236" t="s">
        <v>103</v>
      </c>
    </row>
    <row r="180" spans="1:8" ht="14.45" customHeight="1" x14ac:dyDescent="0.25">
      <c r="A180" s="161" t="s">
        <v>54</v>
      </c>
      <c r="B180" s="172" t="s">
        <v>58</v>
      </c>
    </row>
    <row r="181" spans="1:8" ht="14.45" customHeight="1" x14ac:dyDescent="0.25">
      <c r="A181" s="65">
        <v>2023</v>
      </c>
      <c r="B181" s="67">
        <f>ROUNDDOWN(B156-B113-36504,0)</f>
        <v>23870129</v>
      </c>
      <c r="D181" s="210"/>
      <c r="E181" s="211"/>
    </row>
    <row r="182" spans="1:8" ht="14.45" customHeight="1" x14ac:dyDescent="0.25">
      <c r="A182" s="66">
        <v>2024</v>
      </c>
      <c r="B182" s="68">
        <f>ROUNDDOWN(B157-B114+36502,0)</f>
        <v>21092871</v>
      </c>
      <c r="C182" s="11"/>
      <c r="D182" s="210"/>
      <c r="E182" s="211"/>
    </row>
    <row r="183" spans="1:8" ht="14.45" customHeight="1" x14ac:dyDescent="0.25">
      <c r="A183" s="65">
        <v>2025</v>
      </c>
      <c r="B183" s="67">
        <f>ROUNDUP(B158-B115,0)</f>
        <v>18553500</v>
      </c>
      <c r="C183" s="11"/>
      <c r="D183" s="210"/>
      <c r="E183" s="211"/>
    </row>
    <row r="184" spans="1:8" ht="14.45" customHeight="1" x14ac:dyDescent="0.25">
      <c r="A184" s="66">
        <v>2026</v>
      </c>
      <c r="B184" s="68">
        <f>B159-B116</f>
        <v>13915413</v>
      </c>
      <c r="C184" s="11"/>
      <c r="D184" s="210"/>
      <c r="E184" s="211"/>
    </row>
    <row r="185" spans="1:8" ht="14.45" customHeight="1" x14ac:dyDescent="0.25">
      <c r="A185" s="65">
        <v>2027</v>
      </c>
      <c r="B185" s="67">
        <f>B160-B117</f>
        <v>12167330</v>
      </c>
      <c r="C185" s="11"/>
      <c r="D185" s="210"/>
      <c r="E185" s="211"/>
      <c r="G185" s="11"/>
    </row>
    <row r="186" spans="1:8" ht="14.45" customHeight="1" x14ac:dyDescent="0.25">
      <c r="A186" s="66">
        <v>2028</v>
      </c>
      <c r="B186" s="68">
        <f>B161-B118</f>
        <v>8895532</v>
      </c>
      <c r="D186" s="210"/>
      <c r="E186" s="211"/>
    </row>
    <row r="187" spans="1:8" ht="14.45" customHeight="1" x14ac:dyDescent="0.25">
      <c r="A187" s="65">
        <v>2029</v>
      </c>
      <c r="B187" s="67">
        <f>B162-B119</f>
        <v>6744929</v>
      </c>
      <c r="D187" s="210"/>
      <c r="E187" s="211"/>
    </row>
    <row r="188" spans="1:8" ht="14.45" customHeight="1" x14ac:dyDescent="0.25">
      <c r="A188" s="66">
        <v>2030</v>
      </c>
      <c r="B188" s="68">
        <f>B163-B120</f>
        <v>4643793</v>
      </c>
      <c r="D188" s="210"/>
      <c r="E188" s="211"/>
      <c r="F188" s="211"/>
    </row>
    <row r="189" spans="1:8" ht="30" customHeight="1" x14ac:dyDescent="0.25">
      <c r="A189" s="248" t="s">
        <v>104</v>
      </c>
      <c r="B189" s="248"/>
      <c r="C189" s="248"/>
      <c r="D189" s="248"/>
      <c r="E189" s="248"/>
      <c r="F189" s="248"/>
      <c r="G189" s="248"/>
      <c r="H189" s="248"/>
    </row>
  </sheetData>
  <sheetProtection algorithmName="SHA-512" hashValue="rogKCWb5KXc/LhrzvGwpkcXSXQONqiFE3GRxqnfN0v7NH6u9fxfX3cloeQQXEdtzIYZzDN6Fm+tQThQiegac8g==" saltValue="oGDrwlMrOf/urw9/6O+mbw==" spinCount="100000" sheet="1" objects="1" scenarios="1"/>
  <mergeCells count="29">
    <mergeCell ref="A18:B18"/>
    <mergeCell ref="A57:H57"/>
    <mergeCell ref="A58:G58"/>
    <mergeCell ref="A70:H70"/>
    <mergeCell ref="A71:H71"/>
    <mergeCell ref="A176:H176"/>
    <mergeCell ref="A189:H189"/>
    <mergeCell ref="A137:H137"/>
    <mergeCell ref="A138:H138"/>
    <mergeCell ref="A139:H139"/>
    <mergeCell ref="A140:H140"/>
    <mergeCell ref="A164:G164"/>
    <mergeCell ref="A177:F177"/>
    <mergeCell ref="A3:H3"/>
    <mergeCell ref="A121:H121"/>
    <mergeCell ref="A109:H109"/>
    <mergeCell ref="A152:H152"/>
    <mergeCell ref="A84:H84"/>
    <mergeCell ref="A96:H96"/>
    <mergeCell ref="A97:H97"/>
    <mergeCell ref="A133:H133"/>
    <mergeCell ref="A134:H134"/>
    <mergeCell ref="A135:H135"/>
    <mergeCell ref="A30:H30"/>
    <mergeCell ref="A31:H31"/>
    <mergeCell ref="A44:H44"/>
    <mergeCell ref="A45:H45"/>
    <mergeCell ref="A136:H136"/>
    <mergeCell ref="A83:H83"/>
  </mergeCells>
  <hyperlinks>
    <hyperlink ref="A32" r:id="rId1" tooltip="https://content.govdelivery.com/accounts/waecy/bulletins/37da880" xr:uid="{09FDCA41-0D61-4AE6-B648-1078C34F1354}"/>
    <hyperlink ref="A83:H83" r:id="rId2" display="Source: Allowance Allocation to Electric Utilities for the First Compliance Period (Revised). " xr:uid="{BA59FC27-EB99-42B0-87E0-0873A6A29296}"/>
  </hyperlinks>
  <pageMargins left="0.7" right="0.7" top="0.75" bottom="0.75" header="0.3" footer="0.3"/>
  <pageSetup orientation="landscape" r:id="rId3"/>
  <ignoredErrors>
    <ignoredError sqref="B169"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F8A490-622D-492A-B941-1E668D3D19F2}">
  <dimension ref="A1:L264"/>
  <sheetViews>
    <sheetView showGridLines="0" topLeftCell="A6" zoomScale="175" zoomScaleNormal="175" workbookViewId="0">
      <selection activeCell="B2" sqref="B2"/>
    </sheetView>
  </sheetViews>
  <sheetFormatPr defaultRowHeight="15" x14ac:dyDescent="0.25"/>
  <cols>
    <col min="1" max="1" width="14" customWidth="1"/>
    <col min="2" max="2" width="14" bestFit="1" customWidth="1"/>
    <col min="3" max="3" width="17.28515625" customWidth="1"/>
    <col min="4" max="4" width="16.85546875" customWidth="1"/>
    <col min="5" max="5" width="14.5703125" customWidth="1"/>
    <col min="6" max="6" width="18.28515625" bestFit="1" customWidth="1"/>
    <col min="7" max="7" width="17.42578125" bestFit="1" customWidth="1"/>
    <col min="8" max="8" width="15.140625" bestFit="1" customWidth="1"/>
    <col min="9" max="9" width="12" bestFit="1" customWidth="1"/>
    <col min="10" max="10" width="66.5703125" customWidth="1"/>
    <col min="11" max="11" width="16.5703125" bestFit="1" customWidth="1"/>
    <col min="12" max="12" width="18.28515625" customWidth="1"/>
  </cols>
  <sheetData>
    <row r="1" spans="1:11" ht="21" x14ac:dyDescent="0.35">
      <c r="A1" s="1" t="s">
        <v>105</v>
      </c>
    </row>
    <row r="2" spans="1:11" x14ac:dyDescent="0.25">
      <c r="A2" s="75">
        <v>45659</v>
      </c>
      <c r="B2" t="s">
        <v>198</v>
      </c>
      <c r="F2" s="47"/>
    </row>
    <row r="3" spans="1:11" ht="30" customHeight="1" x14ac:dyDescent="0.25">
      <c r="A3" s="241" t="s">
        <v>106</v>
      </c>
      <c r="B3" s="241"/>
      <c r="C3" s="241"/>
      <c r="D3" s="241"/>
      <c r="E3" s="241"/>
      <c r="F3" s="241"/>
      <c r="G3" s="241"/>
      <c r="H3" s="241"/>
    </row>
    <row r="4" spans="1:11" x14ac:dyDescent="0.25">
      <c r="A4" s="241" t="s">
        <v>107</v>
      </c>
      <c r="B4" s="241"/>
      <c r="C4" s="241"/>
      <c r="D4" s="241"/>
      <c r="E4" s="241"/>
      <c r="F4" s="241"/>
      <c r="G4" s="241"/>
      <c r="H4" s="241"/>
    </row>
    <row r="5" spans="1:11" x14ac:dyDescent="0.25">
      <c r="A5" s="234"/>
      <c r="B5" s="234"/>
      <c r="C5" s="234"/>
      <c r="D5" s="234"/>
      <c r="E5" s="234"/>
      <c r="F5" s="234"/>
      <c r="G5" s="234"/>
      <c r="H5" s="234"/>
    </row>
    <row r="6" spans="1:11" ht="71.45" customHeight="1" x14ac:dyDescent="0.25">
      <c r="A6" s="251" t="s">
        <v>108</v>
      </c>
      <c r="B6" s="252"/>
      <c r="C6" s="252"/>
      <c r="D6" s="252"/>
      <c r="E6" s="252"/>
      <c r="F6" s="252"/>
      <c r="G6" s="252"/>
      <c r="H6" s="252"/>
    </row>
    <row r="7" spans="1:11" x14ac:dyDescent="0.25">
      <c r="A7" s="12" t="s">
        <v>109</v>
      </c>
      <c r="B7" s="234"/>
      <c r="C7" s="234"/>
      <c r="D7" s="234"/>
      <c r="E7" s="234"/>
      <c r="F7" s="234"/>
      <c r="G7" s="234"/>
      <c r="H7" s="234"/>
    </row>
    <row r="8" spans="1:11" ht="30" customHeight="1" x14ac:dyDescent="0.25">
      <c r="A8" s="118" t="s">
        <v>110</v>
      </c>
      <c r="B8" s="241" t="s">
        <v>111</v>
      </c>
      <c r="C8" s="241"/>
      <c r="D8" s="241"/>
      <c r="E8" s="241"/>
      <c r="F8" s="241"/>
      <c r="G8" s="241"/>
      <c r="H8" s="241"/>
      <c r="I8" s="241"/>
    </row>
    <row r="9" spans="1:11" ht="15" customHeight="1" x14ac:dyDescent="0.25">
      <c r="A9" s="118" t="s">
        <v>110</v>
      </c>
      <c r="B9" s="241" t="s">
        <v>112</v>
      </c>
      <c r="C9" s="241"/>
      <c r="D9" s="241"/>
      <c r="E9" s="241"/>
      <c r="F9" s="241"/>
      <c r="G9" s="241"/>
      <c r="H9" s="241"/>
      <c r="I9" s="241"/>
    </row>
    <row r="10" spans="1:11" ht="15" customHeight="1" x14ac:dyDescent="0.25">
      <c r="A10" s="118" t="s">
        <v>110</v>
      </c>
      <c r="B10" s="206" t="s">
        <v>113</v>
      </c>
      <c r="C10" s="234"/>
      <c r="D10" s="234"/>
      <c r="E10" s="234"/>
      <c r="F10" s="234"/>
      <c r="G10" s="234"/>
      <c r="H10" s="234"/>
      <c r="I10" s="234"/>
    </row>
    <row r="11" spans="1:11" ht="30" customHeight="1" x14ac:dyDescent="0.25">
      <c r="A11" s="118" t="s">
        <v>110</v>
      </c>
      <c r="B11" s="241" t="s">
        <v>114</v>
      </c>
      <c r="C11" s="241"/>
      <c r="D11" s="241"/>
      <c r="E11" s="241"/>
      <c r="F11" s="241"/>
      <c r="G11" s="241"/>
      <c r="H11" s="241"/>
      <c r="I11" s="241"/>
    </row>
    <row r="12" spans="1:11" x14ac:dyDescent="0.25">
      <c r="A12" s="118"/>
      <c r="B12" s="234"/>
      <c r="C12" s="234"/>
      <c r="D12" s="234"/>
      <c r="E12" s="234"/>
      <c r="F12" s="234"/>
      <c r="G12" s="234"/>
      <c r="H12" s="234"/>
      <c r="I12" s="234"/>
    </row>
    <row r="13" spans="1:11" ht="17.25" x14ac:dyDescent="0.3">
      <c r="A13" s="10" t="s">
        <v>115</v>
      </c>
    </row>
    <row r="14" spans="1:11" x14ac:dyDescent="0.25">
      <c r="A14" s="3" t="s">
        <v>116</v>
      </c>
    </row>
    <row r="15" spans="1:11" ht="27.75" customHeight="1" x14ac:dyDescent="0.25">
      <c r="A15" s="189" t="s">
        <v>117</v>
      </c>
      <c r="B15" s="190" t="s">
        <v>118</v>
      </c>
      <c r="C15" s="190" t="s">
        <v>119</v>
      </c>
      <c r="D15" s="190" t="s">
        <v>120</v>
      </c>
      <c r="E15" s="190" t="s">
        <v>121</v>
      </c>
      <c r="F15" s="190" t="s">
        <v>122</v>
      </c>
      <c r="G15" s="190" t="s">
        <v>123</v>
      </c>
      <c r="H15" s="191" t="s">
        <v>124</v>
      </c>
    </row>
    <row r="16" spans="1:11" x14ac:dyDescent="0.25">
      <c r="A16" s="204" t="s">
        <v>125</v>
      </c>
      <c r="B16" s="179">
        <v>45147</v>
      </c>
      <c r="C16" s="180"/>
      <c r="D16" s="180"/>
      <c r="E16" s="180">
        <v>1054000</v>
      </c>
      <c r="F16" s="181">
        <v>51.9</v>
      </c>
      <c r="G16" s="181">
        <v>66.680000000000007</v>
      </c>
      <c r="H16" s="182">
        <v>62491660</v>
      </c>
      <c r="J16" s="5"/>
      <c r="K16" s="72"/>
    </row>
    <row r="17" spans="1:11" x14ac:dyDescent="0.25">
      <c r="A17" s="205" t="s">
        <v>126</v>
      </c>
      <c r="B17" s="183">
        <v>45168</v>
      </c>
      <c r="C17" s="184">
        <v>5657651</v>
      </c>
      <c r="D17" s="184"/>
      <c r="E17" s="184"/>
      <c r="F17" s="185">
        <v>63.03</v>
      </c>
      <c r="G17" s="186">
        <v>0</v>
      </c>
      <c r="H17" s="187">
        <v>356601742.53000003</v>
      </c>
      <c r="K17" s="72"/>
    </row>
    <row r="18" spans="1:11" x14ac:dyDescent="0.25">
      <c r="A18" s="204" t="s">
        <v>127</v>
      </c>
      <c r="B18" s="179">
        <v>45238</v>
      </c>
      <c r="C18" s="180"/>
      <c r="D18" s="180"/>
      <c r="E18" s="180">
        <v>5000000</v>
      </c>
      <c r="F18" s="181">
        <v>51.9</v>
      </c>
      <c r="G18" s="181">
        <v>66.680000000000007</v>
      </c>
      <c r="H18" s="182">
        <v>259500000</v>
      </c>
      <c r="K18" s="72"/>
    </row>
    <row r="19" spans="1:11" x14ac:dyDescent="0.25">
      <c r="A19" s="205" t="s">
        <v>128</v>
      </c>
      <c r="B19" s="183">
        <v>45266</v>
      </c>
      <c r="C19" s="184">
        <v>3442255</v>
      </c>
      <c r="D19" s="184">
        <v>2449760</v>
      </c>
      <c r="E19" s="184"/>
      <c r="F19" s="185">
        <v>51.89</v>
      </c>
      <c r="G19" s="185">
        <v>45</v>
      </c>
      <c r="H19" s="187">
        <v>288857804.75</v>
      </c>
      <c r="J19" s="48"/>
      <c r="K19" s="72"/>
    </row>
    <row r="20" spans="1:11" x14ac:dyDescent="0.25">
      <c r="A20" s="204" t="s">
        <v>129</v>
      </c>
      <c r="B20" s="179">
        <v>45336</v>
      </c>
      <c r="C20" s="180"/>
      <c r="D20" s="180"/>
      <c r="E20" s="188"/>
      <c r="F20" s="181">
        <v>51.9</v>
      </c>
      <c r="G20" s="181">
        <v>66.680000000000007</v>
      </c>
      <c r="H20" s="91">
        <v>0</v>
      </c>
      <c r="K20" s="72"/>
    </row>
    <row r="21" spans="1:11" x14ac:dyDescent="0.25">
      <c r="A21" s="205" t="s">
        <v>130</v>
      </c>
      <c r="B21" s="183">
        <v>45357</v>
      </c>
      <c r="C21" s="184">
        <v>5260000</v>
      </c>
      <c r="D21" s="184"/>
      <c r="E21" s="184"/>
      <c r="F21" s="185">
        <v>25.76</v>
      </c>
      <c r="G21" s="186">
        <v>0</v>
      </c>
      <c r="H21" s="187">
        <v>135497600</v>
      </c>
      <c r="J21" s="55"/>
      <c r="K21" s="72"/>
    </row>
    <row r="22" spans="1:11" x14ac:dyDescent="0.25">
      <c r="A22" s="204" t="s">
        <v>129</v>
      </c>
      <c r="B22" s="179">
        <v>45420</v>
      </c>
      <c r="C22" s="180"/>
      <c r="D22" s="180"/>
      <c r="E22" s="180"/>
      <c r="F22" s="181">
        <v>56.16</v>
      </c>
      <c r="G22" s="181">
        <v>72.150000000000006</v>
      </c>
      <c r="H22" s="91">
        <v>0</v>
      </c>
      <c r="K22" s="72"/>
    </row>
    <row r="23" spans="1:11" x14ac:dyDescent="0.25">
      <c r="A23" s="205" t="s">
        <v>131</v>
      </c>
      <c r="B23" s="183">
        <v>45448</v>
      </c>
      <c r="C23" s="184">
        <v>5260000</v>
      </c>
      <c r="D23" s="184">
        <v>1317000</v>
      </c>
      <c r="E23" s="184"/>
      <c r="F23" s="185">
        <v>29.92</v>
      </c>
      <c r="G23" s="185">
        <v>24.02</v>
      </c>
      <c r="H23" s="187">
        <v>189013540</v>
      </c>
      <c r="I23" s="5"/>
      <c r="J23" s="55"/>
      <c r="K23" s="72"/>
    </row>
    <row r="24" spans="1:11" x14ac:dyDescent="0.25">
      <c r="A24" s="44" t="s">
        <v>132</v>
      </c>
      <c r="B24" s="45" t="s">
        <v>133</v>
      </c>
      <c r="C24" s="46">
        <f>SUM(C16:C23)</f>
        <v>19619906</v>
      </c>
      <c r="D24" s="46">
        <f t="shared" ref="D24:E24" si="0">SUM(D16:D23)</f>
        <v>3766760</v>
      </c>
      <c r="E24" s="46">
        <f t="shared" si="0"/>
        <v>6054000</v>
      </c>
      <c r="F24" s="76"/>
      <c r="G24" s="59" t="s">
        <v>133</v>
      </c>
      <c r="H24" s="34">
        <f>(SUM(H14:H23))</f>
        <v>1291962347.28</v>
      </c>
      <c r="I24" s="64"/>
      <c r="K24" s="72"/>
    </row>
    <row r="25" spans="1:11" x14ac:dyDescent="0.25">
      <c r="K25" s="72"/>
    </row>
    <row r="26" spans="1:11" x14ac:dyDescent="0.25">
      <c r="A26" s="3" t="s">
        <v>134</v>
      </c>
      <c r="K26" s="72"/>
    </row>
    <row r="27" spans="1:11" ht="27.75" customHeight="1" x14ac:dyDescent="0.25">
      <c r="A27" s="24" t="s">
        <v>117</v>
      </c>
      <c r="B27" s="25" t="s">
        <v>135</v>
      </c>
      <c r="C27" s="25" t="s">
        <v>119</v>
      </c>
      <c r="D27" s="25" t="s">
        <v>120</v>
      </c>
      <c r="E27" s="25" t="s">
        <v>121</v>
      </c>
      <c r="F27" s="25" t="s">
        <v>122</v>
      </c>
      <c r="G27" s="25" t="s">
        <v>123</v>
      </c>
      <c r="H27" s="26" t="s">
        <v>124</v>
      </c>
      <c r="J27" s="5"/>
      <c r="K27" s="72"/>
    </row>
    <row r="28" spans="1:11" x14ac:dyDescent="0.25">
      <c r="A28" s="27" t="s">
        <v>129</v>
      </c>
      <c r="B28" s="28">
        <v>45511</v>
      </c>
      <c r="C28" s="35"/>
      <c r="D28" s="35"/>
      <c r="E28" s="35"/>
      <c r="F28" s="84">
        <v>56.16</v>
      </c>
      <c r="G28" s="84">
        <v>72.150000000000006</v>
      </c>
      <c r="H28" s="87">
        <v>0</v>
      </c>
      <c r="K28" s="72"/>
    </row>
    <row r="29" spans="1:11" x14ac:dyDescent="0.25">
      <c r="A29" s="29" t="s">
        <v>136</v>
      </c>
      <c r="B29" s="30">
        <v>45539</v>
      </c>
      <c r="C29" s="36">
        <v>5260000</v>
      </c>
      <c r="D29" s="36"/>
      <c r="E29" s="36"/>
      <c r="F29" s="85">
        <v>29.88</v>
      </c>
      <c r="G29" s="89">
        <v>0</v>
      </c>
      <c r="H29" s="86">
        <v>157169000</v>
      </c>
      <c r="J29" s="102"/>
      <c r="K29" s="72"/>
    </row>
    <row r="30" spans="1:11" x14ac:dyDescent="0.25">
      <c r="A30" s="27" t="s">
        <v>137</v>
      </c>
      <c r="B30" s="28">
        <v>45567</v>
      </c>
      <c r="C30" s="35">
        <v>1022000</v>
      </c>
      <c r="D30" s="35"/>
      <c r="E30" s="35"/>
      <c r="F30" s="84">
        <v>56.16</v>
      </c>
      <c r="G30" s="84">
        <v>72.150000000000006</v>
      </c>
      <c r="H30" s="82">
        <v>57396000</v>
      </c>
      <c r="J30" s="116"/>
      <c r="K30" s="72"/>
    </row>
    <row r="31" spans="1:11" x14ac:dyDescent="0.25">
      <c r="A31" s="29" t="s">
        <v>138</v>
      </c>
      <c r="B31" s="71" t="s">
        <v>139</v>
      </c>
      <c r="C31" s="36"/>
      <c r="D31" s="36"/>
      <c r="E31" s="36"/>
      <c r="F31" s="85">
        <v>41.73</v>
      </c>
      <c r="G31" s="89">
        <v>0</v>
      </c>
      <c r="H31" s="88">
        <v>0</v>
      </c>
      <c r="J31" s="116"/>
      <c r="K31" s="72"/>
    </row>
    <row r="32" spans="1:11" x14ac:dyDescent="0.25">
      <c r="A32" s="27" t="s">
        <v>129</v>
      </c>
      <c r="B32" s="28">
        <v>45602</v>
      </c>
      <c r="C32" s="35"/>
      <c r="D32" s="35"/>
      <c r="E32" s="35"/>
      <c r="F32" s="84">
        <v>56.16</v>
      </c>
      <c r="G32" s="84">
        <v>72.150000000000006</v>
      </c>
      <c r="H32" s="87">
        <v>0</v>
      </c>
      <c r="J32" s="72"/>
      <c r="K32" s="72"/>
    </row>
    <row r="33" spans="1:12" x14ac:dyDescent="0.25">
      <c r="A33" s="29" t="s">
        <v>140</v>
      </c>
      <c r="B33" s="30">
        <v>45630</v>
      </c>
      <c r="C33" s="36">
        <v>5312871</v>
      </c>
      <c r="D33" s="36">
        <v>2222832</v>
      </c>
      <c r="E33" s="36"/>
      <c r="F33" s="85">
        <v>40.26</v>
      </c>
      <c r="G33" s="85">
        <v>26</v>
      </c>
      <c r="H33" s="86">
        <v>271690000</v>
      </c>
      <c r="I33" t="s">
        <v>141</v>
      </c>
      <c r="J33" s="121"/>
      <c r="K33" s="72"/>
    </row>
    <row r="34" spans="1:12" x14ac:dyDescent="0.25">
      <c r="A34" s="27" t="s">
        <v>129</v>
      </c>
      <c r="B34" s="28">
        <v>45707</v>
      </c>
      <c r="C34" s="35"/>
      <c r="D34" s="35"/>
      <c r="E34" s="35"/>
      <c r="F34" s="84">
        <v>56.16</v>
      </c>
      <c r="G34" s="84">
        <v>72.150000000000006</v>
      </c>
      <c r="H34" s="87"/>
      <c r="I34" t="s">
        <v>142</v>
      </c>
      <c r="J34" s="72"/>
      <c r="K34" s="72"/>
    </row>
    <row r="35" spans="1:12" x14ac:dyDescent="0.25">
      <c r="A35" s="29" t="s">
        <v>143</v>
      </c>
      <c r="B35" s="30">
        <v>45721</v>
      </c>
      <c r="C35" s="36">
        <f>'Appendix A - Supply Tables'!$B$183/4</f>
        <v>4638375</v>
      </c>
      <c r="D35" s="36"/>
      <c r="E35" s="36"/>
      <c r="F35" s="217">
        <v>42.11</v>
      </c>
      <c r="G35" s="89"/>
      <c r="H35" s="86">
        <f>ROUND((F35*C35)+(G35*D35),-3)</f>
        <v>195322000</v>
      </c>
      <c r="J35" s="213"/>
      <c r="K35" s="72"/>
      <c r="L35" s="48"/>
    </row>
    <row r="36" spans="1:12" x14ac:dyDescent="0.25">
      <c r="A36" s="27" t="s">
        <v>129</v>
      </c>
      <c r="B36" s="28">
        <v>45798</v>
      </c>
      <c r="C36" s="35"/>
      <c r="D36" s="35"/>
      <c r="E36" s="35"/>
      <c r="F36" s="84">
        <v>60.43</v>
      </c>
      <c r="G36" s="84">
        <v>77.63</v>
      </c>
      <c r="H36" s="87">
        <f>ROUND((F36*E36),-3)</f>
        <v>0</v>
      </c>
      <c r="J36" s="121"/>
      <c r="K36" s="72"/>
      <c r="L36" s="48"/>
    </row>
    <row r="37" spans="1:12" x14ac:dyDescent="0.25">
      <c r="A37" s="29" t="s">
        <v>144</v>
      </c>
      <c r="B37" s="30">
        <v>45812</v>
      </c>
      <c r="C37" s="36">
        <f>'Appendix A - Supply Tables'!$B$183/4</f>
        <v>4638375</v>
      </c>
      <c r="D37" s="36">
        <f>'Appendix A - Supply Tables'!$B$170/2</f>
        <v>1983954.5</v>
      </c>
      <c r="E37" s="36"/>
      <c r="F37" s="217">
        <v>42.89</v>
      </c>
      <c r="G37" s="217">
        <v>38.090000000000003</v>
      </c>
      <c r="H37" s="86">
        <f>ROUND((F37*C37)+(G37*D37),-3)</f>
        <v>274509000</v>
      </c>
      <c r="J37" s="72"/>
      <c r="K37" s="72"/>
      <c r="L37" s="48"/>
    </row>
    <row r="38" spans="1:12" x14ac:dyDescent="0.25">
      <c r="A38" s="31" t="s">
        <v>132</v>
      </c>
      <c r="B38" s="32" t="s">
        <v>133</v>
      </c>
      <c r="C38" s="33">
        <f>SUM(C28:C37)</f>
        <v>20871621</v>
      </c>
      <c r="D38" s="33">
        <f t="shared" ref="D38:E38" si="1">SUM(D28:D37)</f>
        <v>4206786.5</v>
      </c>
      <c r="E38" s="33">
        <f t="shared" si="1"/>
        <v>0</v>
      </c>
      <c r="F38" s="33"/>
      <c r="G38" s="33"/>
      <c r="H38" s="34">
        <f>(SUM(H28:H37))</f>
        <v>956086000</v>
      </c>
      <c r="I38" s="64"/>
      <c r="J38" s="72"/>
      <c r="K38" s="72"/>
      <c r="L38" s="48"/>
    </row>
    <row r="39" spans="1:12" x14ac:dyDescent="0.25">
      <c r="J39" s="72"/>
      <c r="K39" s="72"/>
      <c r="L39" s="48"/>
    </row>
    <row r="40" spans="1:12" x14ac:dyDescent="0.25">
      <c r="A40" s="3" t="s">
        <v>145</v>
      </c>
      <c r="J40" s="72"/>
      <c r="K40" s="72"/>
      <c r="L40" s="48"/>
    </row>
    <row r="41" spans="1:12" ht="27.75" customHeight="1" x14ac:dyDescent="0.25">
      <c r="A41" s="24" t="s">
        <v>117</v>
      </c>
      <c r="B41" s="25" t="s">
        <v>146</v>
      </c>
      <c r="C41" s="25" t="s">
        <v>119</v>
      </c>
      <c r="D41" s="25" t="s">
        <v>120</v>
      </c>
      <c r="E41" s="25" t="s">
        <v>121</v>
      </c>
      <c r="F41" s="25" t="s">
        <v>122</v>
      </c>
      <c r="G41" s="25" t="s">
        <v>123</v>
      </c>
      <c r="H41" s="26" t="s">
        <v>124</v>
      </c>
      <c r="J41" s="72"/>
      <c r="K41" s="72"/>
      <c r="L41" s="48"/>
    </row>
    <row r="42" spans="1:12" x14ac:dyDescent="0.25">
      <c r="A42" s="27" t="s">
        <v>129</v>
      </c>
      <c r="B42" s="28">
        <v>45875</v>
      </c>
      <c r="C42" s="35"/>
      <c r="D42" s="35"/>
      <c r="E42" s="35"/>
      <c r="F42" s="84">
        <v>60.43</v>
      </c>
      <c r="G42" s="84">
        <v>77.63</v>
      </c>
      <c r="H42" s="87">
        <f>ROUND((F42*E42),-3)</f>
        <v>0</v>
      </c>
      <c r="J42" s="72"/>
      <c r="K42" s="72"/>
      <c r="L42" s="48"/>
    </row>
    <row r="43" spans="1:12" x14ac:dyDescent="0.25">
      <c r="A43" s="29" t="s">
        <v>147</v>
      </c>
      <c r="B43" s="30">
        <v>45903</v>
      </c>
      <c r="C43" s="36">
        <f>'Appendix A - Supply Tables'!$B$183/4</f>
        <v>4638375</v>
      </c>
      <c r="D43" s="36"/>
      <c r="E43" s="36"/>
      <c r="F43" s="217">
        <v>43.68</v>
      </c>
      <c r="G43" s="95"/>
      <c r="H43" s="86">
        <f>ROUND((F43*C43)+(G43*D43),-3)</f>
        <v>202604000</v>
      </c>
      <c r="J43" s="72"/>
      <c r="K43" s="72"/>
      <c r="L43" s="48"/>
    </row>
    <row r="44" spans="1:12" x14ac:dyDescent="0.25">
      <c r="A44" s="27" t="s">
        <v>138</v>
      </c>
      <c r="B44" s="63" t="s">
        <v>139</v>
      </c>
      <c r="C44" s="35"/>
      <c r="D44" s="35"/>
      <c r="E44" s="35"/>
      <c r="F44" s="84">
        <v>43.68</v>
      </c>
      <c r="G44" s="96"/>
      <c r="H44" s="87">
        <f t="shared" ref="H44" si="2">ROUND((F44*C44)+(G44*D44),-3)</f>
        <v>0</v>
      </c>
      <c r="J44" s="72"/>
      <c r="K44" s="72"/>
    </row>
    <row r="45" spans="1:12" x14ac:dyDescent="0.25">
      <c r="A45" s="29" t="s">
        <v>148</v>
      </c>
      <c r="B45" s="30">
        <v>45931</v>
      </c>
      <c r="C45" s="36"/>
      <c r="D45" s="36"/>
      <c r="E45" s="36"/>
      <c r="F45" s="85">
        <v>60.43</v>
      </c>
      <c r="G45" s="85">
        <v>77.63</v>
      </c>
      <c r="H45" s="88">
        <f>ROUND((F45*E45),-3)</f>
        <v>0</v>
      </c>
      <c r="J45" s="72"/>
      <c r="K45" s="72"/>
    </row>
    <row r="46" spans="1:12" x14ac:dyDescent="0.25">
      <c r="A46" s="27" t="s">
        <v>129</v>
      </c>
      <c r="B46" s="28">
        <v>45973</v>
      </c>
      <c r="C46" s="35"/>
      <c r="D46" s="35"/>
      <c r="E46" s="35"/>
      <c r="F46" s="84">
        <v>60.43</v>
      </c>
      <c r="G46" s="84">
        <v>77.63</v>
      </c>
      <c r="H46" s="87">
        <f>ROUND((F46*E46),-3)</f>
        <v>0</v>
      </c>
      <c r="J46" s="72"/>
      <c r="K46" s="72"/>
    </row>
    <row r="47" spans="1:12" x14ac:dyDescent="0.25">
      <c r="A47" s="29" t="s">
        <v>149</v>
      </c>
      <c r="B47" s="30">
        <v>45994</v>
      </c>
      <c r="C47" s="36">
        <f>'Appendix A - Supply Tables'!$B$183/4</f>
        <v>4638375</v>
      </c>
      <c r="D47" s="36">
        <f>'Appendix A - Supply Tables'!$B$170/2</f>
        <v>1983954.5</v>
      </c>
      <c r="E47" s="36"/>
      <c r="F47" s="85">
        <v>44.49</v>
      </c>
      <c r="G47" s="85">
        <v>39.51</v>
      </c>
      <c r="H47" s="86">
        <f>ROUND((F47*C47)+(G47*D47),-3)</f>
        <v>284747000</v>
      </c>
      <c r="J47" s="72"/>
      <c r="K47" s="72"/>
    </row>
    <row r="48" spans="1:12" x14ac:dyDescent="0.25">
      <c r="A48" s="27" t="s">
        <v>150</v>
      </c>
      <c r="B48" s="28">
        <v>46071</v>
      </c>
      <c r="C48" s="35"/>
      <c r="D48" s="35"/>
      <c r="E48" s="35"/>
      <c r="F48" s="84">
        <v>60.43</v>
      </c>
      <c r="G48" s="84">
        <v>83.17</v>
      </c>
      <c r="H48" s="87">
        <f>ROUND((F48*E48),-3)</f>
        <v>0</v>
      </c>
      <c r="J48" s="72"/>
      <c r="K48" s="72"/>
    </row>
    <row r="49" spans="1:11" x14ac:dyDescent="0.25">
      <c r="A49" s="29" t="s">
        <v>151</v>
      </c>
      <c r="B49" s="30">
        <v>46085</v>
      </c>
      <c r="C49" s="36">
        <f>ROUNDUP('Appendix A - Supply Tables'!B184/4,0)</f>
        <v>3478854</v>
      </c>
      <c r="D49" s="36"/>
      <c r="E49" s="36"/>
      <c r="F49" s="85">
        <v>45.26</v>
      </c>
      <c r="G49" s="95"/>
      <c r="H49" s="86">
        <f>ROUND((F49*C49)+(G49*D49),-3)</f>
        <v>157453000</v>
      </c>
      <c r="J49" s="72"/>
      <c r="K49" s="72"/>
    </row>
    <row r="50" spans="1:11" x14ac:dyDescent="0.25">
      <c r="A50" s="27" t="s">
        <v>150</v>
      </c>
      <c r="B50" s="28">
        <v>46162</v>
      </c>
      <c r="C50" s="35"/>
      <c r="D50" s="35"/>
      <c r="E50" s="35"/>
      <c r="F50" s="84">
        <v>64.739999999999995</v>
      </c>
      <c r="G50" s="84">
        <v>83.17</v>
      </c>
      <c r="H50" s="87">
        <f>ROUND((F50*E50),-3)</f>
        <v>0</v>
      </c>
      <c r="J50" s="72"/>
      <c r="K50" s="72"/>
    </row>
    <row r="51" spans="1:11" x14ac:dyDescent="0.25">
      <c r="A51" s="29" t="s">
        <v>152</v>
      </c>
      <c r="B51" s="30">
        <v>46176</v>
      </c>
      <c r="C51" s="36">
        <f>ROUNDDOWN('Appendix A - Supply Tables'!B184/4,0)</f>
        <v>3478853</v>
      </c>
      <c r="D51" s="36">
        <f>ROUNDDOWN('Appendix A - Supply Tables'!$B$171/2,0)</f>
        <v>1744921</v>
      </c>
      <c r="E51" s="36"/>
      <c r="F51" s="85">
        <v>46.05</v>
      </c>
      <c r="G51" s="85">
        <v>40.9</v>
      </c>
      <c r="H51" s="86">
        <f>ROUND((F51*C51)+(G51*D51),-3)</f>
        <v>231568000</v>
      </c>
      <c r="J51" s="72"/>
      <c r="K51" s="72"/>
    </row>
    <row r="52" spans="1:11" x14ac:dyDescent="0.25">
      <c r="A52" s="31" t="s">
        <v>132</v>
      </c>
      <c r="B52" s="32" t="s">
        <v>133</v>
      </c>
      <c r="C52" s="33">
        <f>SUM(C42:C51)</f>
        <v>16234457</v>
      </c>
      <c r="D52" s="33">
        <f t="shared" ref="D52" si="3">SUM(D42:D51)</f>
        <v>3728875.5</v>
      </c>
      <c r="E52" s="33">
        <f t="shared" ref="E52" si="4">SUM(E42:E51)</f>
        <v>0</v>
      </c>
      <c r="F52" s="33"/>
      <c r="G52" s="33"/>
      <c r="H52" s="34">
        <f>(SUM(H42:H51))</f>
        <v>876372000</v>
      </c>
      <c r="I52" s="64"/>
      <c r="J52" s="72"/>
      <c r="K52" s="72"/>
    </row>
    <row r="53" spans="1:11" x14ac:dyDescent="0.25">
      <c r="J53" s="72"/>
      <c r="K53" s="72"/>
    </row>
    <row r="54" spans="1:11" x14ac:dyDescent="0.25">
      <c r="A54" s="2" t="s">
        <v>153</v>
      </c>
      <c r="J54" s="72"/>
      <c r="K54" s="72"/>
    </row>
    <row r="55" spans="1:11" ht="27.75" customHeight="1" x14ac:dyDescent="0.25">
      <c r="A55" s="24" t="s">
        <v>117</v>
      </c>
      <c r="B55" s="25" t="s">
        <v>154</v>
      </c>
      <c r="C55" s="25" t="s">
        <v>119</v>
      </c>
      <c r="D55" s="25" t="s">
        <v>120</v>
      </c>
      <c r="E55" s="25" t="s">
        <v>121</v>
      </c>
      <c r="F55" s="25" t="s">
        <v>122</v>
      </c>
      <c r="G55" s="25" t="s">
        <v>123</v>
      </c>
      <c r="H55" s="26" t="s">
        <v>124</v>
      </c>
      <c r="J55" s="72"/>
      <c r="K55" s="72"/>
    </row>
    <row r="56" spans="1:11" x14ac:dyDescent="0.25">
      <c r="A56" s="27" t="s">
        <v>150</v>
      </c>
      <c r="B56" s="28">
        <v>46239</v>
      </c>
      <c r="C56" s="35"/>
      <c r="D56" s="35"/>
      <c r="E56" s="35"/>
      <c r="F56" s="84">
        <v>64.739999999999995</v>
      </c>
      <c r="G56" s="84">
        <v>83.17</v>
      </c>
      <c r="H56" s="87">
        <f>ROUND((F56*E56),-3)</f>
        <v>0</v>
      </c>
      <c r="J56" s="72"/>
      <c r="K56" s="72"/>
    </row>
    <row r="57" spans="1:11" x14ac:dyDescent="0.25">
      <c r="A57" s="29" t="s">
        <v>155</v>
      </c>
      <c r="B57" s="30">
        <v>46267</v>
      </c>
      <c r="C57" s="192">
        <f>ROUNDDOWN('Appendix A - Supply Tables'!B184/4,0)</f>
        <v>3478853</v>
      </c>
      <c r="D57" s="36"/>
      <c r="E57" s="36"/>
      <c r="F57" s="85">
        <v>46.85</v>
      </c>
      <c r="G57" s="95"/>
      <c r="H57" s="86">
        <f>ROUND((F57*C57)+(G57*D57),-3)</f>
        <v>162984000</v>
      </c>
      <c r="J57" s="72"/>
      <c r="K57" s="72"/>
    </row>
    <row r="58" spans="1:11" x14ac:dyDescent="0.25">
      <c r="A58" s="27" t="s">
        <v>138</v>
      </c>
      <c r="B58" s="63" t="s">
        <v>139</v>
      </c>
      <c r="C58" s="139"/>
      <c r="D58" s="35"/>
      <c r="E58" s="35"/>
      <c r="F58" s="84">
        <v>46.85</v>
      </c>
      <c r="G58" s="96"/>
      <c r="H58" s="87">
        <f t="shared" ref="H58" si="5">ROUND((F58*C58)+(G58*D58),-3)</f>
        <v>0</v>
      </c>
      <c r="J58" s="72"/>
      <c r="K58" s="72"/>
    </row>
    <row r="59" spans="1:11" x14ac:dyDescent="0.25">
      <c r="A59" s="29" t="s">
        <v>156</v>
      </c>
      <c r="B59" s="30">
        <v>46295</v>
      </c>
      <c r="C59" s="138"/>
      <c r="D59" s="36"/>
      <c r="E59" s="36"/>
      <c r="F59" s="85">
        <v>64.739999999999995</v>
      </c>
      <c r="G59" s="85">
        <v>83.17</v>
      </c>
      <c r="H59" s="86">
        <f>ROUND((F59*E59),-3)</f>
        <v>0</v>
      </c>
      <c r="J59" s="72"/>
      <c r="K59" s="72"/>
    </row>
    <row r="60" spans="1:11" x14ac:dyDescent="0.25">
      <c r="A60" s="27" t="s">
        <v>129</v>
      </c>
      <c r="B60" s="28">
        <v>46344</v>
      </c>
      <c r="C60" s="139"/>
      <c r="D60" s="35"/>
      <c r="E60" s="35"/>
      <c r="F60" s="84">
        <v>64.739999999999995</v>
      </c>
      <c r="G60" s="84">
        <v>83.17</v>
      </c>
      <c r="H60" s="87">
        <f>ROUND((F60*E60),-3)</f>
        <v>0</v>
      </c>
      <c r="J60" s="72"/>
      <c r="K60" s="72"/>
    </row>
    <row r="61" spans="1:11" x14ac:dyDescent="0.25">
      <c r="A61" s="29" t="s">
        <v>157</v>
      </c>
      <c r="B61" s="30">
        <v>46358</v>
      </c>
      <c r="C61" s="138">
        <f>ROUNDDOWN('Appendix A - Supply Tables'!B184/4,0)</f>
        <v>3478853</v>
      </c>
      <c r="D61" s="36">
        <f>ROUNDUP('Appendix A - Supply Tables'!$B$171/2,0)</f>
        <v>1744922</v>
      </c>
      <c r="E61" s="36"/>
      <c r="F61" s="85">
        <v>47.66</v>
      </c>
      <c r="G61" s="85">
        <v>42.33</v>
      </c>
      <c r="H61" s="86">
        <f>ROUND((F61*C61)+(G61*D61),-3)</f>
        <v>239665000</v>
      </c>
      <c r="J61" s="72"/>
      <c r="K61" s="72"/>
    </row>
    <row r="62" spans="1:11" x14ac:dyDescent="0.25">
      <c r="A62" s="27" t="s">
        <v>150</v>
      </c>
      <c r="B62" s="28">
        <v>46435</v>
      </c>
      <c r="C62" s="35"/>
      <c r="D62" s="35"/>
      <c r="E62" s="35"/>
      <c r="F62" s="84">
        <v>64.739999999999995</v>
      </c>
      <c r="G62" s="84">
        <v>83.17</v>
      </c>
      <c r="H62" s="87">
        <f>ROUND((F62*E62),-3)</f>
        <v>0</v>
      </c>
      <c r="J62" s="72"/>
      <c r="K62" s="72"/>
    </row>
    <row r="63" spans="1:11" x14ac:dyDescent="0.25">
      <c r="A63" s="29" t="s">
        <v>158</v>
      </c>
      <c r="B63" s="30">
        <v>46449</v>
      </c>
      <c r="C63" s="193">
        <f>ROUNDDOWN('Appendix A - Supply Tables'!B185/4,0)</f>
        <v>3041832</v>
      </c>
      <c r="D63" s="36"/>
      <c r="E63" s="36"/>
      <c r="F63" s="85">
        <v>48.52</v>
      </c>
      <c r="G63" s="95"/>
      <c r="H63" s="86">
        <f>ROUND((F63*C63)+(G63*D63),-3)</f>
        <v>147590000</v>
      </c>
      <c r="J63" s="72"/>
      <c r="K63" s="72"/>
    </row>
    <row r="64" spans="1:11" x14ac:dyDescent="0.25">
      <c r="A64" s="27" t="s">
        <v>129</v>
      </c>
      <c r="B64" s="28">
        <v>46526</v>
      </c>
      <c r="C64" s="35"/>
      <c r="D64" s="35"/>
      <c r="E64" s="35"/>
      <c r="F64" s="84">
        <v>69.55</v>
      </c>
      <c r="G64" s="84">
        <v>89.35</v>
      </c>
      <c r="H64" s="87">
        <f>ROUND((F64*E64),-3)</f>
        <v>0</v>
      </c>
      <c r="J64" s="72"/>
      <c r="K64" s="72"/>
    </row>
    <row r="65" spans="1:11" x14ac:dyDescent="0.25">
      <c r="A65" s="29" t="s">
        <v>159</v>
      </c>
      <c r="B65" s="30">
        <v>46540</v>
      </c>
      <c r="C65" s="36">
        <f>ROUNDDOWN('Appendix A - Supply Tables'!B185/4,0)</f>
        <v>3041832</v>
      </c>
      <c r="D65" s="36">
        <f>'Appendix A - Supply Tables'!$B$172/2</f>
        <v>1505889</v>
      </c>
      <c r="E65" s="36"/>
      <c r="F65" s="85">
        <v>49.4</v>
      </c>
      <c r="G65" s="85">
        <v>43.88</v>
      </c>
      <c r="H65" s="86">
        <f>ROUND((F65*C65)+(G65*D65),-3)</f>
        <v>216345000</v>
      </c>
      <c r="J65" s="72"/>
      <c r="K65" s="72"/>
    </row>
    <row r="66" spans="1:11" x14ac:dyDescent="0.25">
      <c r="A66" s="31" t="s">
        <v>132</v>
      </c>
      <c r="B66" s="32"/>
      <c r="C66" s="33">
        <f>SUM(C56:C65)</f>
        <v>13041370</v>
      </c>
      <c r="D66" s="33">
        <f t="shared" ref="D66" si="6">SUM(D56:D65)</f>
        <v>3250811</v>
      </c>
      <c r="E66" s="33">
        <f t="shared" ref="E66" si="7">SUM(E56:E65)</f>
        <v>0</v>
      </c>
      <c r="F66" s="33"/>
      <c r="G66" s="33"/>
      <c r="H66" s="34">
        <f>(SUM(H56:H65))</f>
        <v>766584000</v>
      </c>
      <c r="I66" s="64"/>
      <c r="J66" s="72"/>
      <c r="K66" s="72"/>
    </row>
    <row r="67" spans="1:11" x14ac:dyDescent="0.25">
      <c r="J67" s="72"/>
      <c r="K67" s="72"/>
    </row>
    <row r="68" spans="1:11" x14ac:dyDescent="0.25">
      <c r="A68" s="2" t="s">
        <v>160</v>
      </c>
      <c r="J68" s="72"/>
      <c r="K68" s="72"/>
    </row>
    <row r="69" spans="1:11" ht="27.75" customHeight="1" x14ac:dyDescent="0.25">
      <c r="A69" s="24" t="s">
        <v>117</v>
      </c>
      <c r="B69" s="25" t="s">
        <v>161</v>
      </c>
      <c r="C69" s="25" t="s">
        <v>119</v>
      </c>
      <c r="D69" s="25" t="s">
        <v>120</v>
      </c>
      <c r="E69" s="25" t="s">
        <v>121</v>
      </c>
      <c r="F69" s="25" t="s">
        <v>122</v>
      </c>
      <c r="G69" s="25" t="s">
        <v>123</v>
      </c>
      <c r="H69" s="26" t="s">
        <v>124</v>
      </c>
      <c r="J69" s="72"/>
      <c r="K69" s="72"/>
    </row>
    <row r="70" spans="1:11" x14ac:dyDescent="0.25">
      <c r="A70" s="27" t="s">
        <v>129</v>
      </c>
      <c r="B70" s="28">
        <v>46603</v>
      </c>
      <c r="C70" s="35"/>
      <c r="D70" s="35"/>
      <c r="E70" s="35"/>
      <c r="F70" s="84">
        <v>69.55</v>
      </c>
      <c r="G70" s="84">
        <v>89.35</v>
      </c>
      <c r="H70" s="87">
        <f>ROUND((F70*E70),-3)</f>
        <v>0</v>
      </c>
      <c r="J70" s="72"/>
      <c r="K70" s="72"/>
    </row>
    <row r="71" spans="1:11" x14ac:dyDescent="0.25">
      <c r="A71" s="29" t="s">
        <v>162</v>
      </c>
      <c r="B71" s="30">
        <v>46631</v>
      </c>
      <c r="C71" s="36">
        <f>ROUNDUP('Appendix A - Supply Tables'!B185/4,0)</f>
        <v>3041833</v>
      </c>
      <c r="D71" s="36"/>
      <c r="E71" s="36"/>
      <c r="F71" s="85">
        <v>50.3</v>
      </c>
      <c r="G71" s="93">
        <v>0</v>
      </c>
      <c r="H71" s="86">
        <f>ROUND((F71*C71)+(G71*D71),-3)</f>
        <v>153004000</v>
      </c>
      <c r="J71" s="72"/>
      <c r="K71" s="72"/>
    </row>
    <row r="72" spans="1:11" x14ac:dyDescent="0.25">
      <c r="A72" s="27" t="s">
        <v>163</v>
      </c>
      <c r="B72" s="63">
        <v>46659</v>
      </c>
      <c r="C72" s="35"/>
      <c r="D72" s="35"/>
      <c r="E72" s="35"/>
      <c r="F72" s="84">
        <v>69.55</v>
      </c>
      <c r="G72" s="84">
        <v>89.35</v>
      </c>
      <c r="H72" s="87">
        <f>ROUND((F72*E72),-3)</f>
        <v>0</v>
      </c>
      <c r="J72" s="72"/>
      <c r="K72" s="72"/>
    </row>
    <row r="73" spans="1:11" x14ac:dyDescent="0.25">
      <c r="A73" s="218" t="s">
        <v>164</v>
      </c>
      <c r="B73" s="30">
        <v>46687</v>
      </c>
      <c r="C73" s="36"/>
      <c r="D73" s="36"/>
      <c r="E73" s="36"/>
      <c r="F73" s="85">
        <v>109.91</v>
      </c>
      <c r="G73" s="93">
        <v>0</v>
      </c>
      <c r="H73" s="88">
        <f t="shared" ref="H73" si="8">ROUND((F73*C73)+(G73*D73),-3)</f>
        <v>0</v>
      </c>
      <c r="J73" s="72"/>
      <c r="K73" s="72"/>
    </row>
    <row r="74" spans="1:11" x14ac:dyDescent="0.25">
      <c r="A74" s="27" t="s">
        <v>129</v>
      </c>
      <c r="B74" s="63">
        <v>46701</v>
      </c>
      <c r="C74" s="35"/>
      <c r="D74" s="35"/>
      <c r="E74" s="35"/>
      <c r="F74" s="84">
        <v>69.55</v>
      </c>
      <c r="G74" s="84">
        <v>89.35</v>
      </c>
      <c r="H74" s="87">
        <f>ROUND((F74*E74),-3)</f>
        <v>0</v>
      </c>
      <c r="J74" s="72"/>
      <c r="K74" s="72"/>
    </row>
    <row r="75" spans="1:11" x14ac:dyDescent="0.25">
      <c r="A75" s="29" t="s">
        <v>165</v>
      </c>
      <c r="B75" s="30">
        <v>46722</v>
      </c>
      <c r="C75" s="36">
        <f>ROUNDUP('Appendix A - Supply Tables'!B185/4, 0)</f>
        <v>3041833</v>
      </c>
      <c r="D75" s="36">
        <f>'Appendix A - Supply Tables'!$B$172/2</f>
        <v>1505889</v>
      </c>
      <c r="E75" s="36"/>
      <c r="F75" s="85">
        <v>51.21</v>
      </c>
      <c r="G75" s="85">
        <v>43.84</v>
      </c>
      <c r="H75" s="86">
        <f>ROUND((F75*C75)+(G75*D75),-3)</f>
        <v>221790000</v>
      </c>
      <c r="J75" s="72"/>
      <c r="K75" s="72"/>
    </row>
    <row r="76" spans="1:11" x14ac:dyDescent="0.25">
      <c r="A76" s="27" t="s">
        <v>150</v>
      </c>
      <c r="B76" s="28">
        <v>46799</v>
      </c>
      <c r="C76" s="35"/>
      <c r="D76" s="35"/>
      <c r="E76" s="35"/>
      <c r="F76" s="84">
        <v>69.55</v>
      </c>
      <c r="G76" s="84">
        <v>89.35</v>
      </c>
      <c r="H76" s="87">
        <f>ROUND((F76*E76),-3)</f>
        <v>0</v>
      </c>
      <c r="J76" s="72"/>
      <c r="K76" s="72"/>
    </row>
    <row r="77" spans="1:11" x14ac:dyDescent="0.25">
      <c r="A77" s="29" t="s">
        <v>166</v>
      </c>
      <c r="B77" s="30">
        <v>46813</v>
      </c>
      <c r="C77" s="36">
        <f>'Appendix A - Supply Tables'!B186/4</f>
        <v>2223883</v>
      </c>
      <c r="D77" s="36"/>
      <c r="E77" s="36"/>
      <c r="F77" s="85">
        <v>52.13</v>
      </c>
      <c r="G77" s="93">
        <v>0</v>
      </c>
      <c r="H77" s="86">
        <f>ROUND((F77*C77)+(G77*D77),-3)</f>
        <v>115931000</v>
      </c>
      <c r="J77" s="72"/>
      <c r="K77" s="72"/>
    </row>
    <row r="78" spans="1:11" x14ac:dyDescent="0.25">
      <c r="A78" s="27" t="s">
        <v>150</v>
      </c>
      <c r="B78" s="28">
        <v>46897</v>
      </c>
      <c r="C78" s="35"/>
      <c r="D78" s="35"/>
      <c r="E78" s="35"/>
      <c r="F78" s="84">
        <v>74.680000000000007</v>
      </c>
      <c r="G78" s="84">
        <v>95.94</v>
      </c>
      <c r="H78" s="87">
        <f>ROUND((F78*E78),-3)</f>
        <v>0</v>
      </c>
      <c r="J78" s="72"/>
      <c r="K78" s="72"/>
    </row>
    <row r="79" spans="1:11" x14ac:dyDescent="0.25">
      <c r="A79" s="29" t="s">
        <v>167</v>
      </c>
      <c r="B79" s="30">
        <v>46911</v>
      </c>
      <c r="C79" s="36">
        <f>'Appendix A - Supply Tables'!B186/4</f>
        <v>2223883</v>
      </c>
      <c r="D79" s="36">
        <f>ROUNDDOWN('Appendix A - Supply Tables'!$B$173/2, 0)</f>
        <v>1484685</v>
      </c>
      <c r="E79" s="36"/>
      <c r="F79" s="85">
        <v>53.07</v>
      </c>
      <c r="G79" s="85">
        <v>45.43</v>
      </c>
      <c r="H79" s="86">
        <f>ROUND((F79*C79)+(G79*D79),-3)</f>
        <v>185471000</v>
      </c>
      <c r="J79" s="72"/>
      <c r="K79" s="72"/>
    </row>
    <row r="80" spans="1:11" x14ac:dyDescent="0.25">
      <c r="A80" s="31" t="s">
        <v>132</v>
      </c>
      <c r="B80" s="32"/>
      <c r="C80" s="33">
        <f>SUM(C70:C79)</f>
        <v>10531432</v>
      </c>
      <c r="D80" s="33">
        <f t="shared" ref="D80" si="9">SUM(D70:D79)</f>
        <v>2990574</v>
      </c>
      <c r="E80" s="33">
        <f t="shared" ref="E80" si="10">SUM(E70:E79)</f>
        <v>0</v>
      </c>
      <c r="F80" s="33"/>
      <c r="G80" s="33"/>
      <c r="H80" s="34">
        <f>(SUM(H70:H79))</f>
        <v>676196000</v>
      </c>
      <c r="I80" s="64"/>
      <c r="J80" s="72"/>
      <c r="K80" s="72"/>
    </row>
    <row r="81" spans="1:11" x14ac:dyDescent="0.25">
      <c r="F81" s="49"/>
      <c r="G81" s="49"/>
      <c r="J81" s="72"/>
      <c r="K81" s="72"/>
    </row>
    <row r="82" spans="1:11" x14ac:dyDescent="0.25">
      <c r="A82" s="2" t="s">
        <v>168</v>
      </c>
      <c r="F82" s="49"/>
      <c r="G82" s="49"/>
      <c r="J82" s="72"/>
      <c r="K82" s="72"/>
    </row>
    <row r="83" spans="1:11" ht="25.5" x14ac:dyDescent="0.25">
      <c r="A83" s="24" t="s">
        <v>117</v>
      </c>
      <c r="B83" s="25" t="s">
        <v>169</v>
      </c>
      <c r="C83" s="25" t="s">
        <v>119</v>
      </c>
      <c r="D83" s="25" t="s">
        <v>120</v>
      </c>
      <c r="E83" s="25" t="s">
        <v>121</v>
      </c>
      <c r="F83" s="25" t="s">
        <v>122</v>
      </c>
      <c r="G83" s="25" t="s">
        <v>123</v>
      </c>
      <c r="H83" s="26" t="s">
        <v>124</v>
      </c>
      <c r="J83" s="72"/>
      <c r="K83" s="72"/>
    </row>
    <row r="84" spans="1:11" x14ac:dyDescent="0.25">
      <c r="A84" s="27" t="s">
        <v>129</v>
      </c>
      <c r="B84" s="28">
        <v>46974</v>
      </c>
      <c r="C84" s="35"/>
      <c r="D84" s="35"/>
      <c r="E84" s="35"/>
      <c r="F84" s="84">
        <v>74.680000000000007</v>
      </c>
      <c r="G84" s="84">
        <v>95.94</v>
      </c>
      <c r="H84" s="87">
        <f>ROUND((F84*E84),-3)</f>
        <v>0</v>
      </c>
      <c r="J84" s="72"/>
      <c r="K84" s="72"/>
    </row>
    <row r="85" spans="1:11" x14ac:dyDescent="0.25">
      <c r="A85" s="29" t="s">
        <v>170</v>
      </c>
      <c r="B85" s="30">
        <v>47002</v>
      </c>
      <c r="C85" s="36">
        <f>'Appendix A - Supply Tables'!B186/4</f>
        <v>2223883</v>
      </c>
      <c r="D85" s="36"/>
      <c r="E85" s="36"/>
      <c r="F85" s="85">
        <v>54.02</v>
      </c>
      <c r="G85" s="93">
        <v>0</v>
      </c>
      <c r="H85" s="86">
        <f>ROUND((F85*C85)+(G85*D85),-3)</f>
        <v>120134000</v>
      </c>
      <c r="J85" s="72"/>
      <c r="K85" s="72"/>
    </row>
    <row r="86" spans="1:11" x14ac:dyDescent="0.25">
      <c r="A86" s="27" t="s">
        <v>138</v>
      </c>
      <c r="B86" s="63" t="s">
        <v>139</v>
      </c>
      <c r="C86" s="35"/>
      <c r="D86" s="35"/>
      <c r="E86" s="35"/>
      <c r="F86" s="84">
        <v>54.02</v>
      </c>
      <c r="G86" s="94">
        <v>0</v>
      </c>
      <c r="H86" s="87">
        <f t="shared" ref="H86:H87" si="11">ROUND((F86*C86)+(G86*D86),-3)</f>
        <v>0</v>
      </c>
      <c r="J86" s="72"/>
      <c r="K86" s="72"/>
    </row>
    <row r="87" spans="1:11" x14ac:dyDescent="0.25">
      <c r="A87" s="29" t="s">
        <v>171</v>
      </c>
      <c r="B87" s="30">
        <v>47051</v>
      </c>
      <c r="C87" s="36"/>
      <c r="D87" s="36"/>
      <c r="E87" s="36"/>
      <c r="F87" s="85">
        <v>74.680000000000007</v>
      </c>
      <c r="G87" s="85">
        <v>95.94</v>
      </c>
      <c r="H87" s="88">
        <f t="shared" si="11"/>
        <v>0</v>
      </c>
      <c r="J87" s="72"/>
      <c r="K87" s="72"/>
    </row>
    <row r="88" spans="1:11" x14ac:dyDescent="0.25">
      <c r="A88" s="27" t="s">
        <v>129</v>
      </c>
      <c r="B88" s="63">
        <v>47072</v>
      </c>
      <c r="C88" s="35"/>
      <c r="D88" s="35"/>
      <c r="E88" s="35"/>
      <c r="F88" s="84">
        <v>74.680000000000007</v>
      </c>
      <c r="G88" s="84">
        <v>95.94</v>
      </c>
      <c r="H88" s="87">
        <f>ROUND((F88*E88),-3)</f>
        <v>0</v>
      </c>
      <c r="J88" s="72"/>
      <c r="K88" s="72"/>
    </row>
    <row r="89" spans="1:11" x14ac:dyDescent="0.25">
      <c r="A89" s="29" t="s">
        <v>172</v>
      </c>
      <c r="B89" s="30">
        <v>47093</v>
      </c>
      <c r="C89" s="36">
        <f>'Appendix A - Supply Tables'!B186/4</f>
        <v>2223883</v>
      </c>
      <c r="D89" s="36">
        <f>ROUNDUP('Appendix A - Supply Tables'!$B$173/2, 0)</f>
        <v>1484686</v>
      </c>
      <c r="E89" s="36"/>
      <c r="F89" s="85">
        <v>54.99</v>
      </c>
      <c r="G89" s="85">
        <v>47.08</v>
      </c>
      <c r="H89" s="86">
        <f>ROUND((F89*C89)+(G89*D89),-3)</f>
        <v>192190000</v>
      </c>
      <c r="J89" s="72"/>
      <c r="K89" s="72"/>
    </row>
    <row r="90" spans="1:11" x14ac:dyDescent="0.25">
      <c r="A90" s="27" t="s">
        <v>150</v>
      </c>
      <c r="B90" s="28">
        <v>47170</v>
      </c>
      <c r="C90" s="35"/>
      <c r="D90" s="35"/>
      <c r="E90" s="35"/>
      <c r="F90" s="84">
        <v>74.680000000000007</v>
      </c>
      <c r="G90" s="84">
        <v>95.94</v>
      </c>
      <c r="H90" s="87">
        <f>ROUND((F90*E90),-3)</f>
        <v>0</v>
      </c>
      <c r="J90" s="72"/>
      <c r="K90" s="72"/>
    </row>
    <row r="91" spans="1:11" ht="14.25" customHeight="1" x14ac:dyDescent="0.25">
      <c r="A91" s="29" t="s">
        <v>173</v>
      </c>
      <c r="B91" s="30">
        <v>47184</v>
      </c>
      <c r="C91" s="36">
        <f>ROUNDDOWN('Appendix A - Supply Tables'!B187/4,0)</f>
        <v>1686232</v>
      </c>
      <c r="D91" s="36"/>
      <c r="E91" s="36"/>
      <c r="F91" s="85">
        <v>55.93</v>
      </c>
      <c r="G91" s="85">
        <v>47.88</v>
      </c>
      <c r="H91" s="86">
        <f>ROUND((F91*C91)+(G91*D91),-3)</f>
        <v>94311000</v>
      </c>
      <c r="J91" s="72"/>
      <c r="K91" s="72"/>
    </row>
    <row r="92" spans="1:11" x14ac:dyDescent="0.25">
      <c r="A92" s="27" t="s">
        <v>150</v>
      </c>
      <c r="B92" s="28">
        <v>47261</v>
      </c>
      <c r="C92" s="35"/>
      <c r="D92" s="35"/>
      <c r="E92" s="35"/>
      <c r="F92" s="84">
        <v>79.900000000000006</v>
      </c>
      <c r="G92" s="84">
        <v>102.65</v>
      </c>
      <c r="H92" s="87">
        <f>ROUND((F92*E92),-3)</f>
        <v>0</v>
      </c>
      <c r="J92" s="72"/>
      <c r="K92" s="72"/>
    </row>
    <row r="93" spans="1:11" x14ac:dyDescent="0.25">
      <c r="A93" s="29" t="s">
        <v>174</v>
      </c>
      <c r="B93" s="30">
        <v>47275</v>
      </c>
      <c r="C93" s="36">
        <f>ROUNDUP('Appendix A - Supply Tables'!B187/4,0)</f>
        <v>1686233</v>
      </c>
      <c r="D93" s="36">
        <f>'Appendix A - Supply Tables'!$B$174/2</f>
        <v>1422482</v>
      </c>
      <c r="E93" s="36"/>
      <c r="F93" s="85">
        <v>56.88</v>
      </c>
      <c r="G93" s="85">
        <v>48.7</v>
      </c>
      <c r="H93" s="86">
        <f>ROUND((F93*C93)+(G93*D93),-3)</f>
        <v>165188000</v>
      </c>
      <c r="J93" s="72"/>
      <c r="K93" s="72"/>
    </row>
    <row r="94" spans="1:11" x14ac:dyDescent="0.25">
      <c r="A94" s="31" t="s">
        <v>132</v>
      </c>
      <c r="B94" s="32"/>
      <c r="C94" s="33">
        <f>SUM(C84:C93)</f>
        <v>7820231</v>
      </c>
      <c r="D94" s="33">
        <f t="shared" ref="D94" si="12">SUM(D84:D93)</f>
        <v>2907168</v>
      </c>
      <c r="E94" s="33">
        <f t="shared" ref="E94" si="13">SUM(E84:E93)</f>
        <v>0</v>
      </c>
      <c r="F94" s="33"/>
      <c r="G94" s="33"/>
      <c r="H94" s="34">
        <f>(SUM(H84:H93))</f>
        <v>571823000</v>
      </c>
      <c r="I94" s="64"/>
      <c r="J94" s="72"/>
      <c r="K94" s="72"/>
    </row>
    <row r="95" spans="1:11" x14ac:dyDescent="0.25">
      <c r="F95" s="49"/>
      <c r="G95" s="49"/>
      <c r="J95" s="72"/>
      <c r="K95" s="72"/>
    </row>
    <row r="96" spans="1:11" x14ac:dyDescent="0.25">
      <c r="F96" s="49"/>
      <c r="G96" s="49"/>
      <c r="J96" s="72"/>
      <c r="K96" s="72"/>
    </row>
    <row r="97" spans="1:11" ht="17.25" x14ac:dyDescent="0.3">
      <c r="A97" s="10" t="s">
        <v>175</v>
      </c>
      <c r="F97" s="49"/>
      <c r="G97" s="49"/>
      <c r="J97" s="72"/>
      <c r="K97" s="72"/>
    </row>
    <row r="98" spans="1:11" x14ac:dyDescent="0.25">
      <c r="A98" s="3" t="s">
        <v>116</v>
      </c>
      <c r="B98" s="78"/>
      <c r="C98" s="78"/>
      <c r="D98" s="78"/>
      <c r="E98" s="78"/>
      <c r="F98" s="79"/>
      <c r="G98" s="79"/>
      <c r="H98" s="78"/>
      <c r="J98" s="72"/>
      <c r="K98" s="72"/>
    </row>
    <row r="99" spans="1:11" ht="27.75" customHeight="1" x14ac:dyDescent="0.25">
      <c r="A99" s="24" t="s">
        <v>117</v>
      </c>
      <c r="B99" s="25" t="s">
        <v>176</v>
      </c>
      <c r="C99" s="25" t="s">
        <v>119</v>
      </c>
      <c r="D99" s="25" t="s">
        <v>120</v>
      </c>
      <c r="E99" s="25" t="s">
        <v>121</v>
      </c>
      <c r="F99" s="25" t="s">
        <v>122</v>
      </c>
      <c r="G99" s="25" t="s">
        <v>123</v>
      </c>
      <c r="H99" s="26" t="s">
        <v>124</v>
      </c>
      <c r="J99" s="121"/>
      <c r="K99" s="72"/>
    </row>
    <row r="100" spans="1:11" ht="15" customHeight="1" x14ac:dyDescent="0.25">
      <c r="A100" s="37" t="s">
        <v>125</v>
      </c>
      <c r="B100" s="38">
        <v>45147</v>
      </c>
      <c r="C100" s="39"/>
      <c r="D100" s="39"/>
      <c r="E100" s="39">
        <v>1054000</v>
      </c>
      <c r="F100" s="80">
        <v>51.9</v>
      </c>
      <c r="G100" s="80">
        <v>66.680000000000007</v>
      </c>
      <c r="H100" s="82">
        <v>62491660</v>
      </c>
      <c r="J100" s="72"/>
      <c r="K100" s="72"/>
    </row>
    <row r="101" spans="1:11" ht="15" customHeight="1" x14ac:dyDescent="0.25">
      <c r="A101" s="40" t="s">
        <v>126</v>
      </c>
      <c r="B101" s="41">
        <v>45168</v>
      </c>
      <c r="C101" s="42">
        <v>5657651</v>
      </c>
      <c r="D101" s="42"/>
      <c r="E101" s="42"/>
      <c r="F101" s="81">
        <v>63.03</v>
      </c>
      <c r="G101" s="90">
        <v>0</v>
      </c>
      <c r="H101" s="83">
        <v>356601742.53000003</v>
      </c>
      <c r="J101" s="72"/>
      <c r="K101" s="72"/>
    </row>
    <row r="102" spans="1:11" ht="15" customHeight="1" x14ac:dyDescent="0.25">
      <c r="A102" s="37" t="s">
        <v>127</v>
      </c>
      <c r="B102" s="38">
        <v>45238</v>
      </c>
      <c r="C102" s="39"/>
      <c r="D102" s="39"/>
      <c r="E102" s="39">
        <v>5000000</v>
      </c>
      <c r="F102" s="80">
        <v>51.9</v>
      </c>
      <c r="G102" s="80">
        <v>66.680000000000007</v>
      </c>
      <c r="H102" s="82">
        <v>259500000</v>
      </c>
      <c r="J102" s="72"/>
      <c r="K102" s="72"/>
    </row>
    <row r="103" spans="1:11" ht="15" customHeight="1" x14ac:dyDescent="0.25">
      <c r="A103" s="40" t="s">
        <v>128</v>
      </c>
      <c r="B103" s="41">
        <v>45266</v>
      </c>
      <c r="C103" s="42">
        <v>3442255</v>
      </c>
      <c r="D103" s="42">
        <v>2449759.8400000008</v>
      </c>
      <c r="E103" s="42"/>
      <c r="F103" s="81">
        <v>51.89</v>
      </c>
      <c r="G103" s="81">
        <v>45</v>
      </c>
      <c r="H103" s="83">
        <v>288857804.75</v>
      </c>
      <c r="J103" s="72"/>
      <c r="K103" s="72"/>
    </row>
    <row r="104" spans="1:11" ht="15" customHeight="1" x14ac:dyDescent="0.25">
      <c r="A104" s="37" t="s">
        <v>129</v>
      </c>
      <c r="B104" s="38">
        <v>45336</v>
      </c>
      <c r="C104" s="39"/>
      <c r="D104" s="39"/>
      <c r="E104" s="43"/>
      <c r="F104" s="80">
        <v>51.9</v>
      </c>
      <c r="G104" s="80">
        <v>66.680000000000007</v>
      </c>
      <c r="H104" s="91">
        <v>0</v>
      </c>
      <c r="J104" s="72"/>
      <c r="K104" s="72"/>
    </row>
    <row r="105" spans="1:11" ht="15" customHeight="1" x14ac:dyDescent="0.25">
      <c r="A105" s="40" t="s">
        <v>130</v>
      </c>
      <c r="B105" s="41">
        <v>45357</v>
      </c>
      <c r="C105" s="42">
        <v>5260000</v>
      </c>
      <c r="D105" s="42"/>
      <c r="E105" s="42"/>
      <c r="F105" s="81">
        <v>25.76</v>
      </c>
      <c r="G105" s="90">
        <v>0</v>
      </c>
      <c r="H105" s="83">
        <v>135497600</v>
      </c>
      <c r="J105" s="72"/>
      <c r="K105" s="72"/>
    </row>
    <row r="106" spans="1:11" ht="15" customHeight="1" x14ac:dyDescent="0.25">
      <c r="A106" s="37" t="s">
        <v>129</v>
      </c>
      <c r="B106" s="38">
        <v>45420</v>
      </c>
      <c r="C106" s="39"/>
      <c r="D106" s="39"/>
      <c r="E106" s="39"/>
      <c r="F106" s="80">
        <v>56.16</v>
      </c>
      <c r="G106" s="80">
        <v>72.150000000000006</v>
      </c>
      <c r="H106" s="92">
        <v>0</v>
      </c>
      <c r="J106" s="72"/>
      <c r="K106" s="72"/>
    </row>
    <row r="107" spans="1:11" ht="15" customHeight="1" x14ac:dyDescent="0.25">
      <c r="A107" s="40" t="s">
        <v>131</v>
      </c>
      <c r="B107" s="41">
        <v>45448</v>
      </c>
      <c r="C107" s="42">
        <v>5260000</v>
      </c>
      <c r="D107" s="42">
        <v>1317000</v>
      </c>
      <c r="E107" s="42"/>
      <c r="F107" s="81">
        <v>29.92</v>
      </c>
      <c r="G107" s="81">
        <v>24.02</v>
      </c>
      <c r="H107" s="83">
        <v>189013540</v>
      </c>
      <c r="J107" s="72"/>
      <c r="K107" s="72"/>
    </row>
    <row r="108" spans="1:11" ht="15" customHeight="1" x14ac:dyDescent="0.25">
      <c r="A108" s="44" t="s">
        <v>132</v>
      </c>
      <c r="B108" s="45" t="s">
        <v>133</v>
      </c>
      <c r="C108" s="46">
        <f>SUM(C100:C107)</f>
        <v>19619906</v>
      </c>
      <c r="D108" s="46">
        <f t="shared" ref="D108" si="14">SUM(D100:D107)</f>
        <v>3766759.8400000008</v>
      </c>
      <c r="E108" s="46">
        <f t="shared" ref="E108" si="15">SUM(E100:E107)</f>
        <v>6054000</v>
      </c>
      <c r="F108" s="76"/>
      <c r="G108" s="59" t="s">
        <v>133</v>
      </c>
      <c r="H108" s="34">
        <f>(SUM(H98:H107))</f>
        <v>1291962347.28</v>
      </c>
      <c r="I108" s="64"/>
      <c r="J108" s="72"/>
      <c r="K108" s="72"/>
    </row>
    <row r="109" spans="1:11" x14ac:dyDescent="0.25">
      <c r="A109" s="9"/>
      <c r="B109" s="9"/>
      <c r="C109" s="9"/>
      <c r="D109" s="9"/>
      <c r="E109" s="9"/>
      <c r="F109" s="9"/>
      <c r="G109" s="9"/>
      <c r="J109" s="72"/>
      <c r="K109" s="72"/>
    </row>
    <row r="110" spans="1:11" x14ac:dyDescent="0.25">
      <c r="A110" s="2" t="s">
        <v>177</v>
      </c>
      <c r="B110" s="9"/>
      <c r="C110" s="9"/>
      <c r="D110" s="9"/>
      <c r="E110" s="9"/>
      <c r="F110" s="9"/>
      <c r="G110" s="9"/>
      <c r="J110" s="72"/>
      <c r="K110" s="72"/>
    </row>
    <row r="111" spans="1:11" ht="27.75" customHeight="1" x14ac:dyDescent="0.25">
      <c r="A111" s="24" t="s">
        <v>117</v>
      </c>
      <c r="B111" s="25" t="s">
        <v>135</v>
      </c>
      <c r="C111" s="25" t="s">
        <v>119</v>
      </c>
      <c r="D111" s="25" t="s">
        <v>120</v>
      </c>
      <c r="E111" s="25" t="s">
        <v>121</v>
      </c>
      <c r="F111" s="25" t="s">
        <v>122</v>
      </c>
      <c r="G111" s="25" t="s">
        <v>123</v>
      </c>
      <c r="H111" s="26" t="s">
        <v>124</v>
      </c>
      <c r="J111" s="72"/>
      <c r="K111" s="72"/>
    </row>
    <row r="112" spans="1:11" x14ac:dyDescent="0.25">
      <c r="A112" s="27" t="s">
        <v>129</v>
      </c>
      <c r="B112" s="28">
        <v>45511</v>
      </c>
      <c r="C112" s="35"/>
      <c r="D112" s="35"/>
      <c r="E112" s="35"/>
      <c r="F112" s="84">
        <v>56.16</v>
      </c>
      <c r="G112" s="84">
        <v>72.150000000000006</v>
      </c>
      <c r="H112" s="87">
        <v>0</v>
      </c>
      <c r="J112" s="72"/>
      <c r="K112" s="72"/>
    </row>
    <row r="113" spans="1:11" x14ac:dyDescent="0.25">
      <c r="A113" s="29" t="s">
        <v>136</v>
      </c>
      <c r="B113" s="30">
        <v>45539</v>
      </c>
      <c r="C113" s="36">
        <v>5260000</v>
      </c>
      <c r="D113" s="36"/>
      <c r="E113" s="36"/>
      <c r="F113" s="85">
        <v>29.88</v>
      </c>
      <c r="G113" s="89">
        <v>0</v>
      </c>
      <c r="H113" s="86">
        <v>157169000</v>
      </c>
      <c r="J113" s="72"/>
      <c r="K113" s="72"/>
    </row>
    <row r="114" spans="1:11" x14ac:dyDescent="0.25">
      <c r="A114" s="27" t="s">
        <v>137</v>
      </c>
      <c r="B114" s="28">
        <v>45567</v>
      </c>
      <c r="C114" s="35">
        <v>1022000</v>
      </c>
      <c r="D114" s="35"/>
      <c r="E114" s="35"/>
      <c r="F114" s="84">
        <v>56.16</v>
      </c>
      <c r="G114" s="84">
        <v>72.150000000000006</v>
      </c>
      <c r="H114" s="214">
        <v>57396000</v>
      </c>
      <c r="I114" s="5"/>
      <c r="J114" s="72"/>
      <c r="K114" s="72"/>
    </row>
    <row r="115" spans="1:11" x14ac:dyDescent="0.25">
      <c r="A115" s="29" t="s">
        <v>138</v>
      </c>
      <c r="B115" s="71" t="s">
        <v>139</v>
      </c>
      <c r="C115" s="36"/>
      <c r="D115" s="36"/>
      <c r="E115" s="36"/>
      <c r="F115" s="85"/>
      <c r="G115" s="89">
        <v>0</v>
      </c>
      <c r="H115" s="88">
        <v>0</v>
      </c>
      <c r="J115" s="72"/>
      <c r="K115" s="72"/>
    </row>
    <row r="116" spans="1:11" x14ac:dyDescent="0.25">
      <c r="A116" s="27" t="s">
        <v>129</v>
      </c>
      <c r="B116" s="28">
        <v>45602</v>
      </c>
      <c r="C116" s="35"/>
      <c r="D116" s="35"/>
      <c r="E116" s="35"/>
      <c r="F116" s="84">
        <v>56.16</v>
      </c>
      <c r="G116" s="84">
        <v>72.150000000000006</v>
      </c>
      <c r="H116" s="87">
        <v>0</v>
      </c>
      <c r="J116" s="72"/>
      <c r="K116" s="72"/>
    </row>
    <row r="117" spans="1:11" x14ac:dyDescent="0.25">
      <c r="A117" s="29" t="s">
        <v>140</v>
      </c>
      <c r="B117" s="30">
        <v>45630</v>
      </c>
      <c r="C117" s="36">
        <v>5312871</v>
      </c>
      <c r="D117" s="36">
        <v>2222832</v>
      </c>
      <c r="E117" s="36"/>
      <c r="F117" s="85">
        <v>40.26</v>
      </c>
      <c r="G117" s="85">
        <v>26</v>
      </c>
      <c r="H117" s="86">
        <v>271690000</v>
      </c>
      <c r="I117" t="s">
        <v>141</v>
      </c>
      <c r="J117" s="72"/>
      <c r="K117" s="72"/>
    </row>
    <row r="118" spans="1:11" x14ac:dyDescent="0.25">
      <c r="A118" s="27" t="s">
        <v>129</v>
      </c>
      <c r="B118" s="28">
        <v>45707</v>
      </c>
      <c r="C118" s="35"/>
      <c r="D118" s="35"/>
      <c r="E118" s="35"/>
      <c r="F118" s="84">
        <v>56.16</v>
      </c>
      <c r="G118" s="84">
        <v>72.150000000000006</v>
      </c>
      <c r="H118" s="87">
        <f>ROUND((F118*C118)+(G118*D118),-3)</f>
        <v>0</v>
      </c>
      <c r="I118" t="s">
        <v>142</v>
      </c>
      <c r="J118" s="121"/>
      <c r="K118" s="72"/>
    </row>
    <row r="119" spans="1:11" x14ac:dyDescent="0.25">
      <c r="A119" s="29" t="s">
        <v>143</v>
      </c>
      <c r="B119" s="30">
        <v>45721</v>
      </c>
      <c r="C119" s="36">
        <v>4638375</v>
      </c>
      <c r="D119" s="36"/>
      <c r="E119" s="36"/>
      <c r="F119" s="217">
        <v>35.86</v>
      </c>
      <c r="G119" s="89">
        <v>0</v>
      </c>
      <c r="H119" s="86">
        <f>ROUND((F119*C119)+(G119*D119),-3)</f>
        <v>166332000</v>
      </c>
      <c r="J119" s="72"/>
      <c r="K119" s="72"/>
    </row>
    <row r="120" spans="1:11" x14ac:dyDescent="0.25">
      <c r="A120" s="27" t="s">
        <v>150</v>
      </c>
      <c r="B120" s="28">
        <v>45798</v>
      </c>
      <c r="C120" s="35"/>
      <c r="D120" s="35"/>
      <c r="E120" s="35"/>
      <c r="F120" s="84">
        <v>60.43</v>
      </c>
      <c r="G120" s="84">
        <v>77.63</v>
      </c>
      <c r="H120" s="87">
        <f>ROUND((F120*C120)+(G120*D120),-3)</f>
        <v>0</v>
      </c>
      <c r="J120" s="72"/>
      <c r="K120" s="72"/>
    </row>
    <row r="121" spans="1:11" x14ac:dyDescent="0.25">
      <c r="A121" s="29" t="s">
        <v>144</v>
      </c>
      <c r="B121" s="30">
        <v>45812</v>
      </c>
      <c r="C121" s="36">
        <v>4638375</v>
      </c>
      <c r="D121" s="36">
        <f>'Appendix A - Supply Tables'!$B$170/2</f>
        <v>1983954.5</v>
      </c>
      <c r="E121" s="36"/>
      <c r="F121" s="217">
        <v>36.520000000000003</v>
      </c>
      <c r="G121" s="217">
        <v>36.119999999999997</v>
      </c>
      <c r="H121" s="86">
        <f>ROUND((F121*C121)+(G121*D121),-3)</f>
        <v>241054000</v>
      </c>
      <c r="J121" s="72"/>
      <c r="K121" s="72"/>
    </row>
    <row r="122" spans="1:11" x14ac:dyDescent="0.25">
      <c r="A122" s="31" t="s">
        <v>132</v>
      </c>
      <c r="B122" s="32" t="s">
        <v>133</v>
      </c>
      <c r="C122" s="33">
        <f>SUM(C112:C121)</f>
        <v>20871621</v>
      </c>
      <c r="D122" s="33">
        <f t="shared" ref="D122" si="16">SUM(D112:D121)</f>
        <v>4206786.5</v>
      </c>
      <c r="E122" s="33">
        <f t="shared" ref="E122" si="17">SUM(E112:E121)</f>
        <v>0</v>
      </c>
      <c r="F122" s="33"/>
      <c r="G122" s="33"/>
      <c r="H122" s="34">
        <f>(SUM(H112:H121))</f>
        <v>893641000</v>
      </c>
      <c r="I122" s="64"/>
      <c r="J122" s="72"/>
      <c r="K122" s="72"/>
    </row>
    <row r="123" spans="1:11" x14ac:dyDescent="0.25">
      <c r="A123" s="9"/>
      <c r="B123" s="9"/>
      <c r="C123" s="9"/>
      <c r="D123" s="9"/>
      <c r="E123" s="9"/>
      <c r="F123" s="9"/>
      <c r="G123" s="9"/>
      <c r="H123" s="9"/>
      <c r="J123" s="72"/>
      <c r="K123" s="72"/>
    </row>
    <row r="124" spans="1:11" x14ac:dyDescent="0.25">
      <c r="A124" s="2" t="s">
        <v>178</v>
      </c>
      <c r="B124" s="9"/>
      <c r="C124" s="9"/>
      <c r="D124" s="9"/>
      <c r="E124" s="9"/>
      <c r="F124" s="9"/>
      <c r="G124" s="9"/>
      <c r="H124" s="9"/>
      <c r="J124" s="72"/>
      <c r="K124" s="72"/>
    </row>
    <row r="125" spans="1:11" ht="27.75" customHeight="1" x14ac:dyDescent="0.25">
      <c r="A125" s="24" t="s">
        <v>117</v>
      </c>
      <c r="B125" s="25" t="s">
        <v>146</v>
      </c>
      <c r="C125" s="25" t="s">
        <v>119</v>
      </c>
      <c r="D125" s="25" t="s">
        <v>120</v>
      </c>
      <c r="E125" s="25" t="s">
        <v>121</v>
      </c>
      <c r="F125" s="25" t="s">
        <v>122</v>
      </c>
      <c r="G125" s="25" t="s">
        <v>123</v>
      </c>
      <c r="H125" s="26" t="s">
        <v>124</v>
      </c>
      <c r="J125" s="72"/>
      <c r="K125" s="72"/>
    </row>
    <row r="126" spans="1:11" x14ac:dyDescent="0.25">
      <c r="A126" s="27" t="s">
        <v>129</v>
      </c>
      <c r="B126" s="28">
        <v>45875</v>
      </c>
      <c r="C126" s="35"/>
      <c r="D126" s="35"/>
      <c r="E126" s="35"/>
      <c r="F126" s="84">
        <v>60.43</v>
      </c>
      <c r="G126" s="84">
        <v>77.63</v>
      </c>
      <c r="H126" s="87">
        <f>ROUND((F126*C126)+(G126*D126),-3)</f>
        <v>0</v>
      </c>
      <c r="J126" s="72"/>
      <c r="K126" s="72"/>
    </row>
    <row r="127" spans="1:11" x14ac:dyDescent="0.25">
      <c r="A127" s="29" t="s">
        <v>147</v>
      </c>
      <c r="B127" s="30">
        <v>45903</v>
      </c>
      <c r="C127" s="36">
        <v>4638375</v>
      </c>
      <c r="D127" s="36"/>
      <c r="E127" s="36"/>
      <c r="F127" s="217">
        <v>37.19</v>
      </c>
      <c r="G127" s="95">
        <v>0</v>
      </c>
      <c r="H127" s="86">
        <f>ROUND((F127*C127)+(G127*D127),-3)</f>
        <v>172501000</v>
      </c>
      <c r="J127" s="72"/>
      <c r="K127" s="72"/>
    </row>
    <row r="128" spans="1:11" x14ac:dyDescent="0.25">
      <c r="A128" s="27" t="s">
        <v>138</v>
      </c>
      <c r="B128" s="63" t="s">
        <v>139</v>
      </c>
      <c r="C128" s="35"/>
      <c r="D128" s="35"/>
      <c r="E128" s="35"/>
      <c r="F128" s="84">
        <v>37.19</v>
      </c>
      <c r="G128" s="96">
        <v>0</v>
      </c>
      <c r="H128" s="87">
        <f t="shared" ref="H128:H130" si="18">ROUND((F128*C128)+(G128*D128),-3)</f>
        <v>0</v>
      </c>
      <c r="J128" s="72"/>
      <c r="K128" s="72"/>
    </row>
    <row r="129" spans="1:11" x14ac:dyDescent="0.25">
      <c r="A129" s="29" t="s">
        <v>148</v>
      </c>
      <c r="B129" s="30">
        <v>45931</v>
      </c>
      <c r="C129" s="36"/>
      <c r="D129" s="36"/>
      <c r="E129" s="36"/>
      <c r="F129" s="85">
        <v>60.43</v>
      </c>
      <c r="G129" s="85">
        <v>77.63</v>
      </c>
      <c r="H129" s="88">
        <f t="shared" si="18"/>
        <v>0</v>
      </c>
      <c r="J129" s="72"/>
      <c r="K129" s="72"/>
    </row>
    <row r="130" spans="1:11" x14ac:dyDescent="0.25">
      <c r="A130" s="27" t="s">
        <v>129</v>
      </c>
      <c r="B130" s="28">
        <v>45973</v>
      </c>
      <c r="C130" s="35"/>
      <c r="D130" s="35"/>
      <c r="E130" s="35"/>
      <c r="F130" s="84">
        <v>60.43</v>
      </c>
      <c r="G130" s="84">
        <v>77.63</v>
      </c>
      <c r="H130" s="87">
        <f t="shared" si="18"/>
        <v>0</v>
      </c>
      <c r="J130" s="72"/>
      <c r="K130" s="72"/>
    </row>
    <row r="131" spans="1:11" x14ac:dyDescent="0.25">
      <c r="A131" s="29" t="s">
        <v>149</v>
      </c>
      <c r="B131" s="30">
        <v>45994</v>
      </c>
      <c r="C131" s="36">
        <v>4638375</v>
      </c>
      <c r="D131" s="36">
        <f>'Appendix A - Supply Tables'!$B$170/2</f>
        <v>1983954.5</v>
      </c>
      <c r="E131" s="36"/>
      <c r="F131" s="85">
        <v>37.880000000000003</v>
      </c>
      <c r="G131" s="85">
        <v>37.47</v>
      </c>
      <c r="H131" s="86">
        <f>ROUND((F131*C131)+(G131*D131),-3)</f>
        <v>250040000</v>
      </c>
      <c r="J131" s="72"/>
      <c r="K131" s="72"/>
    </row>
    <row r="132" spans="1:11" x14ac:dyDescent="0.25">
      <c r="A132" s="27" t="s">
        <v>150</v>
      </c>
      <c r="B132" s="28">
        <v>46071</v>
      </c>
      <c r="C132" s="35"/>
      <c r="D132" s="35"/>
      <c r="E132" s="35"/>
      <c r="F132" s="84">
        <v>60.43</v>
      </c>
      <c r="G132" s="84">
        <v>83.17</v>
      </c>
      <c r="H132" s="87">
        <f>ROUND((F132*C132)+(G132*D132),-3)</f>
        <v>0</v>
      </c>
      <c r="J132" s="72"/>
      <c r="K132" s="72"/>
    </row>
    <row r="133" spans="1:11" x14ac:dyDescent="0.25">
      <c r="A133" s="29" t="s">
        <v>151</v>
      </c>
      <c r="B133" s="30">
        <v>46085</v>
      </c>
      <c r="C133" s="36">
        <v>3478854</v>
      </c>
      <c r="D133" s="36"/>
      <c r="E133" s="36"/>
      <c r="F133" s="85">
        <v>38.54</v>
      </c>
      <c r="G133" s="95">
        <v>0</v>
      </c>
      <c r="H133" s="86">
        <f>ROUND((F133*C133)+(G133*D133),-3)</f>
        <v>134075000</v>
      </c>
      <c r="J133" s="72"/>
      <c r="K133" s="72"/>
    </row>
    <row r="134" spans="1:11" x14ac:dyDescent="0.25">
      <c r="A134" s="27" t="s">
        <v>150</v>
      </c>
      <c r="B134" s="28">
        <v>46162</v>
      </c>
      <c r="C134" s="35"/>
      <c r="D134" s="35"/>
      <c r="E134" s="35"/>
      <c r="F134" s="84">
        <v>64.739999999999995</v>
      </c>
      <c r="G134" s="84">
        <v>83.17</v>
      </c>
      <c r="H134" s="87">
        <f>ROUND((F134*C134)+(G134*D134),-3)</f>
        <v>0</v>
      </c>
      <c r="J134" s="72"/>
      <c r="K134" s="72"/>
    </row>
    <row r="135" spans="1:11" x14ac:dyDescent="0.25">
      <c r="A135" s="29" t="s">
        <v>152</v>
      </c>
      <c r="B135" s="30">
        <v>46176</v>
      </c>
      <c r="C135" s="36">
        <v>3478853</v>
      </c>
      <c r="D135" s="36">
        <f>ROUNDDOWN('Appendix A - Supply Tables'!$B$171/2,0)</f>
        <v>1744921</v>
      </c>
      <c r="E135" s="36"/>
      <c r="F135" s="85">
        <v>39.21</v>
      </c>
      <c r="G135" s="85">
        <v>38.78</v>
      </c>
      <c r="H135" s="86">
        <f>ROUND((F135*C135)+(G135*D135),-3)</f>
        <v>204074000</v>
      </c>
      <c r="J135" s="72"/>
      <c r="K135" s="72"/>
    </row>
    <row r="136" spans="1:11" x14ac:dyDescent="0.25">
      <c r="A136" s="31" t="s">
        <v>132</v>
      </c>
      <c r="B136" s="32" t="s">
        <v>133</v>
      </c>
      <c r="C136" s="33">
        <f>SUM(C126:C135)</f>
        <v>16234457</v>
      </c>
      <c r="D136" s="33">
        <f t="shared" ref="D136" si="19">SUM(D126:D135)</f>
        <v>3728875.5</v>
      </c>
      <c r="E136" s="33">
        <f t="shared" ref="E136" si="20">SUM(E126:E135)</f>
        <v>0</v>
      </c>
      <c r="F136" s="33"/>
      <c r="G136" s="33"/>
      <c r="H136" s="34">
        <f>(SUM(H126:H135))</f>
        <v>760690000</v>
      </c>
      <c r="I136" s="64"/>
      <c r="J136" s="72"/>
      <c r="K136" s="72"/>
    </row>
    <row r="137" spans="1:11" x14ac:dyDescent="0.25">
      <c r="A137" s="9"/>
      <c r="B137" s="9"/>
      <c r="C137" s="9"/>
      <c r="D137" s="50"/>
      <c r="E137" s="9"/>
      <c r="F137" s="9"/>
      <c r="G137" s="9"/>
      <c r="H137" s="9"/>
      <c r="J137" s="72"/>
      <c r="K137" s="72"/>
    </row>
    <row r="138" spans="1:11" x14ac:dyDescent="0.25">
      <c r="A138" s="2" t="s">
        <v>179</v>
      </c>
      <c r="B138" s="9"/>
      <c r="C138" s="9"/>
      <c r="D138" s="9"/>
      <c r="E138" s="9"/>
      <c r="F138" s="9"/>
      <c r="G138" s="9"/>
      <c r="H138" s="9"/>
      <c r="J138" s="72"/>
      <c r="K138" s="72"/>
    </row>
    <row r="139" spans="1:11" ht="27.75" customHeight="1" x14ac:dyDescent="0.25">
      <c r="A139" s="24" t="s">
        <v>117</v>
      </c>
      <c r="B139" s="25" t="s">
        <v>154</v>
      </c>
      <c r="C139" s="25" t="s">
        <v>119</v>
      </c>
      <c r="D139" s="25" t="s">
        <v>120</v>
      </c>
      <c r="E139" s="25" t="s">
        <v>121</v>
      </c>
      <c r="F139" s="25" t="s">
        <v>122</v>
      </c>
      <c r="G139" s="25" t="s">
        <v>123</v>
      </c>
      <c r="H139" s="26" t="s">
        <v>124</v>
      </c>
      <c r="J139" s="72"/>
      <c r="K139" s="72"/>
    </row>
    <row r="140" spans="1:11" x14ac:dyDescent="0.25">
      <c r="A140" s="27" t="s">
        <v>150</v>
      </c>
      <c r="B140" s="28">
        <v>46239</v>
      </c>
      <c r="C140" s="35"/>
      <c r="D140" s="35"/>
      <c r="E140" s="35"/>
      <c r="F140" s="84">
        <v>64.739999999999995</v>
      </c>
      <c r="G140" s="84">
        <v>83.17</v>
      </c>
      <c r="H140" s="87">
        <f>ROUND((F140*C140)+(G140*D140),-3)</f>
        <v>0</v>
      </c>
      <c r="J140" s="72"/>
      <c r="K140" s="72"/>
    </row>
    <row r="141" spans="1:11" x14ac:dyDescent="0.25">
      <c r="A141" s="29" t="s">
        <v>155</v>
      </c>
      <c r="B141" s="30">
        <v>46267</v>
      </c>
      <c r="C141" s="36">
        <v>3478853</v>
      </c>
      <c r="D141" s="36"/>
      <c r="E141" s="36"/>
      <c r="F141" s="85">
        <v>39.89</v>
      </c>
      <c r="G141" s="95">
        <v>0</v>
      </c>
      <c r="H141" s="86">
        <f>ROUND((F141*C141)+(G141*D141),-3)</f>
        <v>138771000</v>
      </c>
      <c r="J141" s="72"/>
      <c r="K141" s="72"/>
    </row>
    <row r="142" spans="1:11" x14ac:dyDescent="0.25">
      <c r="A142" s="27" t="s">
        <v>138</v>
      </c>
      <c r="B142" s="63" t="s">
        <v>139</v>
      </c>
      <c r="C142" s="35"/>
      <c r="D142" s="35"/>
      <c r="E142" s="35"/>
      <c r="F142" s="84">
        <v>39.89</v>
      </c>
      <c r="G142" s="96">
        <v>0</v>
      </c>
      <c r="H142" s="87">
        <f t="shared" ref="H142:H144" si="21">ROUND((F142*C142)+(G142*D142),-3)</f>
        <v>0</v>
      </c>
      <c r="J142" s="72"/>
      <c r="K142" s="72"/>
    </row>
    <row r="143" spans="1:11" x14ac:dyDescent="0.25">
      <c r="A143" s="29" t="s">
        <v>156</v>
      </c>
      <c r="B143" s="30">
        <v>46295</v>
      </c>
      <c r="C143" s="36"/>
      <c r="D143" s="36"/>
      <c r="E143" s="36"/>
      <c r="F143" s="85">
        <v>64.739999999999995</v>
      </c>
      <c r="G143" s="85">
        <v>83.17</v>
      </c>
      <c r="H143" s="88">
        <f t="shared" si="21"/>
        <v>0</v>
      </c>
      <c r="J143" s="72"/>
      <c r="K143" s="72"/>
    </row>
    <row r="144" spans="1:11" x14ac:dyDescent="0.25">
      <c r="A144" s="27" t="s">
        <v>150</v>
      </c>
      <c r="B144" s="28">
        <v>46344</v>
      </c>
      <c r="C144" s="35"/>
      <c r="D144" s="35"/>
      <c r="E144" s="35"/>
      <c r="F144" s="84">
        <v>64.739999999999995</v>
      </c>
      <c r="G144" s="84">
        <v>83.17</v>
      </c>
      <c r="H144" s="87">
        <f t="shared" si="21"/>
        <v>0</v>
      </c>
      <c r="J144" s="72"/>
      <c r="K144" s="72"/>
    </row>
    <row r="145" spans="1:11" x14ac:dyDescent="0.25">
      <c r="A145" s="29" t="s">
        <v>157</v>
      </c>
      <c r="B145" s="30">
        <v>46358</v>
      </c>
      <c r="C145" s="36">
        <v>3478853</v>
      </c>
      <c r="D145" s="36">
        <f>ROUNDUP('Appendix A - Supply Tables'!$B$171/2,0)</f>
        <v>1744922</v>
      </c>
      <c r="E145" s="36"/>
      <c r="F145" s="85">
        <v>40.58</v>
      </c>
      <c r="G145" s="85">
        <v>40.14</v>
      </c>
      <c r="H145" s="86">
        <f>ROUND((F145*C145)+(G145*D145),-3)</f>
        <v>211213000</v>
      </c>
      <c r="J145" s="72"/>
      <c r="K145" s="72"/>
    </row>
    <row r="146" spans="1:11" x14ac:dyDescent="0.25">
      <c r="A146" s="27" t="s">
        <v>150</v>
      </c>
      <c r="B146" s="28">
        <v>46435</v>
      </c>
      <c r="C146" s="35"/>
      <c r="D146" s="35"/>
      <c r="E146" s="35"/>
      <c r="F146" s="84">
        <v>64.739999999999995</v>
      </c>
      <c r="G146" s="84">
        <v>83.17</v>
      </c>
      <c r="H146" s="87">
        <f>ROUND((F146*C146)+(G146*D146),-3)</f>
        <v>0</v>
      </c>
      <c r="J146" s="72"/>
      <c r="K146" s="72"/>
    </row>
    <row r="147" spans="1:11" x14ac:dyDescent="0.25">
      <c r="A147" s="29" t="s">
        <v>158</v>
      </c>
      <c r="B147" s="30">
        <v>46449</v>
      </c>
      <c r="C147" s="36">
        <v>3041832</v>
      </c>
      <c r="D147" s="36"/>
      <c r="E147" s="36"/>
      <c r="F147" s="85">
        <v>41.31</v>
      </c>
      <c r="G147" s="95">
        <v>0</v>
      </c>
      <c r="H147" s="86">
        <f>ROUND((F147*C147)+(G147*D147),-3)</f>
        <v>125658000</v>
      </c>
      <c r="J147" s="72"/>
      <c r="K147" s="72"/>
    </row>
    <row r="148" spans="1:11" x14ac:dyDescent="0.25">
      <c r="A148" s="27" t="s">
        <v>150</v>
      </c>
      <c r="B148" s="28">
        <v>46526</v>
      </c>
      <c r="C148" s="35"/>
      <c r="D148" s="35"/>
      <c r="E148" s="35"/>
      <c r="F148" s="84">
        <v>69.55</v>
      </c>
      <c r="G148" s="84">
        <v>89.35</v>
      </c>
      <c r="H148" s="87">
        <f>ROUND((F148*C148)+(G148*D148),-3)</f>
        <v>0</v>
      </c>
      <c r="J148" s="72"/>
      <c r="K148" s="72"/>
    </row>
    <row r="149" spans="1:11" x14ac:dyDescent="0.25">
      <c r="A149" s="29" t="s">
        <v>159</v>
      </c>
      <c r="B149" s="70">
        <v>46540</v>
      </c>
      <c r="C149" s="36">
        <v>3041832</v>
      </c>
      <c r="D149" s="36">
        <f>'Appendix A - Supply Tables'!$B$172/2</f>
        <v>1505889</v>
      </c>
      <c r="E149" s="36"/>
      <c r="F149" s="85">
        <v>42.06</v>
      </c>
      <c r="G149" s="85">
        <v>41.61</v>
      </c>
      <c r="H149" s="86">
        <f>ROUND((F149*C149)+(G149*D149),-3)</f>
        <v>190599000</v>
      </c>
      <c r="J149" s="72"/>
      <c r="K149" s="72"/>
    </row>
    <row r="150" spans="1:11" x14ac:dyDescent="0.25">
      <c r="A150" s="31" t="s">
        <v>132</v>
      </c>
      <c r="B150" s="32" t="s">
        <v>133</v>
      </c>
      <c r="C150" s="33">
        <f>SUM(C140:C149)</f>
        <v>13041370</v>
      </c>
      <c r="D150" s="33">
        <f t="shared" ref="D150" si="22">SUM(D140:D149)</f>
        <v>3250811</v>
      </c>
      <c r="E150" s="33">
        <f t="shared" ref="E150" si="23">SUM(E140:E149)</f>
        <v>0</v>
      </c>
      <c r="F150" s="33"/>
      <c r="G150" s="33"/>
      <c r="H150" s="34">
        <f>(SUM(H140:H149))</f>
        <v>666241000</v>
      </c>
      <c r="I150" s="64"/>
      <c r="J150" s="72"/>
      <c r="K150" s="72"/>
    </row>
    <row r="151" spans="1:11" x14ac:dyDescent="0.25">
      <c r="C151" s="51"/>
      <c r="D151" s="51"/>
      <c r="J151" s="72"/>
      <c r="K151" s="72"/>
    </row>
    <row r="152" spans="1:11" x14ac:dyDescent="0.25">
      <c r="A152" s="2" t="s">
        <v>180</v>
      </c>
      <c r="J152" s="72"/>
      <c r="K152" s="72"/>
    </row>
    <row r="153" spans="1:11" ht="27.75" customHeight="1" x14ac:dyDescent="0.25">
      <c r="A153" s="24" t="s">
        <v>117</v>
      </c>
      <c r="B153" s="25" t="s">
        <v>161</v>
      </c>
      <c r="C153" s="25" t="s">
        <v>119</v>
      </c>
      <c r="D153" s="25" t="s">
        <v>120</v>
      </c>
      <c r="E153" s="25" t="s">
        <v>121</v>
      </c>
      <c r="F153" s="25" t="s">
        <v>122</v>
      </c>
      <c r="G153" s="25" t="s">
        <v>123</v>
      </c>
      <c r="H153" s="26" t="s">
        <v>124</v>
      </c>
      <c r="J153" s="72"/>
      <c r="K153" s="72"/>
    </row>
    <row r="154" spans="1:11" x14ac:dyDescent="0.25">
      <c r="A154" s="27" t="s">
        <v>129</v>
      </c>
      <c r="B154" s="28">
        <v>46603</v>
      </c>
      <c r="C154" s="35"/>
      <c r="D154" s="35"/>
      <c r="E154" s="35"/>
      <c r="F154" s="84">
        <v>69.55</v>
      </c>
      <c r="G154" s="84">
        <v>89.35</v>
      </c>
      <c r="H154" s="87">
        <f>ROUND((F154*C154)+(G154*D154),-3)</f>
        <v>0</v>
      </c>
      <c r="J154" s="72"/>
      <c r="K154" s="72"/>
    </row>
    <row r="155" spans="1:11" x14ac:dyDescent="0.25">
      <c r="A155" s="29" t="s">
        <v>162</v>
      </c>
      <c r="B155" s="30">
        <v>46631</v>
      </c>
      <c r="C155" s="36">
        <v>3041833</v>
      </c>
      <c r="D155" s="36"/>
      <c r="E155" s="36"/>
      <c r="F155" s="85">
        <v>42.82</v>
      </c>
      <c r="G155" s="93">
        <v>0</v>
      </c>
      <c r="H155" s="86">
        <f>ROUND((F155*C155)+(G155*D155),-3)</f>
        <v>130251000</v>
      </c>
      <c r="J155" s="72"/>
      <c r="K155" s="72"/>
    </row>
    <row r="156" spans="1:11" x14ac:dyDescent="0.25">
      <c r="A156" s="27" t="s">
        <v>163</v>
      </c>
      <c r="B156" s="63">
        <v>46659</v>
      </c>
      <c r="C156" s="35"/>
      <c r="D156" s="35"/>
      <c r="E156" s="35"/>
      <c r="F156" s="84">
        <v>69.55</v>
      </c>
      <c r="G156" s="84">
        <v>89.35</v>
      </c>
      <c r="H156" s="87">
        <f t="shared" ref="H156:H158" si="24">ROUND((F156*C156)+(G156*D156),-3)</f>
        <v>0</v>
      </c>
      <c r="J156" s="72"/>
      <c r="K156" s="72"/>
    </row>
    <row r="157" spans="1:11" x14ac:dyDescent="0.25">
      <c r="A157" s="218" t="s">
        <v>164</v>
      </c>
      <c r="B157" s="30">
        <v>46687</v>
      </c>
      <c r="C157" s="36"/>
      <c r="D157" s="36"/>
      <c r="E157" s="36"/>
      <c r="F157" s="85">
        <v>109.91</v>
      </c>
      <c r="G157" s="93">
        <v>0</v>
      </c>
      <c r="H157" s="88">
        <f t="shared" si="24"/>
        <v>0</v>
      </c>
      <c r="J157" s="72"/>
      <c r="K157" s="72"/>
    </row>
    <row r="158" spans="1:11" x14ac:dyDescent="0.25">
      <c r="A158" s="27" t="s">
        <v>150</v>
      </c>
      <c r="B158" s="28">
        <v>46701</v>
      </c>
      <c r="C158" s="35"/>
      <c r="D158" s="35"/>
      <c r="E158" s="35"/>
      <c r="F158" s="84">
        <v>69.55</v>
      </c>
      <c r="G158" s="84">
        <v>89.35</v>
      </c>
      <c r="H158" s="87">
        <f t="shared" si="24"/>
        <v>0</v>
      </c>
      <c r="J158" s="72"/>
      <c r="K158" s="72"/>
    </row>
    <row r="159" spans="1:11" x14ac:dyDescent="0.25">
      <c r="A159" s="29" t="s">
        <v>165</v>
      </c>
      <c r="B159" s="30">
        <v>46722</v>
      </c>
      <c r="C159" s="36">
        <v>3041833</v>
      </c>
      <c r="D159" s="36">
        <f>'Appendix A - Supply Tables'!$B$172/2</f>
        <v>1505889</v>
      </c>
      <c r="E159" s="36"/>
      <c r="F159" s="85">
        <v>43.59</v>
      </c>
      <c r="G159" s="85">
        <v>43.13</v>
      </c>
      <c r="H159" s="86">
        <f>ROUND((F159*C159)+(G159*D159),-3)</f>
        <v>197542000</v>
      </c>
      <c r="J159" s="72"/>
      <c r="K159" s="72"/>
    </row>
    <row r="160" spans="1:11" x14ac:dyDescent="0.25">
      <c r="A160" s="27" t="s">
        <v>150</v>
      </c>
      <c r="B160" s="28">
        <v>46799</v>
      </c>
      <c r="C160" s="35"/>
      <c r="D160" s="35"/>
      <c r="E160" s="35"/>
      <c r="F160" s="84">
        <v>69.55</v>
      </c>
      <c r="G160" s="84">
        <v>89.35</v>
      </c>
      <c r="H160" s="87">
        <f>ROUND((F160*C160)+(G160*D160),-3)</f>
        <v>0</v>
      </c>
      <c r="J160" s="72"/>
      <c r="K160" s="72"/>
    </row>
    <row r="161" spans="1:11" x14ac:dyDescent="0.25">
      <c r="A161" s="29" t="s">
        <v>166</v>
      </c>
      <c r="B161" s="30">
        <v>46813</v>
      </c>
      <c r="C161" s="36">
        <v>2223883</v>
      </c>
      <c r="D161" s="36"/>
      <c r="E161" s="36"/>
      <c r="F161" s="85">
        <v>44.37</v>
      </c>
      <c r="G161" s="93">
        <v>0</v>
      </c>
      <c r="H161" s="86">
        <f>ROUND((F161*C161)+(G161*D161),-3)</f>
        <v>98674000</v>
      </c>
      <c r="J161" s="72"/>
      <c r="K161" s="72"/>
    </row>
    <row r="162" spans="1:11" x14ac:dyDescent="0.25">
      <c r="A162" s="27" t="s">
        <v>150</v>
      </c>
      <c r="B162" s="28">
        <v>46897</v>
      </c>
      <c r="C162" s="35"/>
      <c r="D162" s="35"/>
      <c r="E162" s="35"/>
      <c r="F162" s="84">
        <v>74.680000000000007</v>
      </c>
      <c r="G162" s="84">
        <v>95.94</v>
      </c>
      <c r="H162" s="87">
        <f>ROUND((F162*C162)+(G162*D162),-3)</f>
        <v>0</v>
      </c>
      <c r="J162" s="72"/>
      <c r="K162" s="72"/>
    </row>
    <row r="163" spans="1:11" x14ac:dyDescent="0.25">
      <c r="A163" s="29" t="s">
        <v>167</v>
      </c>
      <c r="B163" s="70">
        <v>46911</v>
      </c>
      <c r="C163" s="36">
        <v>2223883</v>
      </c>
      <c r="D163" s="36">
        <f>ROUNDDOWN('Appendix A - Supply Tables'!$B$173/2, 0)</f>
        <v>1484685</v>
      </c>
      <c r="E163" s="36"/>
      <c r="F163" s="85">
        <v>45.17</v>
      </c>
      <c r="G163" s="85">
        <v>44.69</v>
      </c>
      <c r="H163" s="86">
        <f>ROUND((F163*C163)+(G163*D163),-3)</f>
        <v>166803000</v>
      </c>
      <c r="J163" s="72"/>
      <c r="K163" s="72"/>
    </row>
    <row r="164" spans="1:11" x14ac:dyDescent="0.25">
      <c r="A164" s="31" t="s">
        <v>132</v>
      </c>
      <c r="B164" s="32"/>
      <c r="C164" s="33">
        <f>SUM(C154:C163)</f>
        <v>10531432</v>
      </c>
      <c r="D164" s="33">
        <f t="shared" ref="D164" si="25">SUM(D154:D163)</f>
        <v>2990574</v>
      </c>
      <c r="E164" s="33">
        <f t="shared" ref="E164" si="26">SUM(E154:E163)</f>
        <v>0</v>
      </c>
      <c r="F164" s="33"/>
      <c r="G164" s="33"/>
      <c r="H164" s="34">
        <f>(SUM(H154:H163))</f>
        <v>593270000</v>
      </c>
      <c r="I164" s="64"/>
      <c r="J164" s="72"/>
      <c r="K164" s="72"/>
    </row>
    <row r="165" spans="1:11" x14ac:dyDescent="0.25">
      <c r="J165" s="72"/>
      <c r="K165" s="72"/>
    </row>
    <row r="166" spans="1:11" x14ac:dyDescent="0.25">
      <c r="A166" s="2" t="s">
        <v>181</v>
      </c>
      <c r="J166" s="72"/>
      <c r="K166" s="72"/>
    </row>
    <row r="167" spans="1:11" ht="25.5" x14ac:dyDescent="0.25">
      <c r="A167" s="24" t="s">
        <v>117</v>
      </c>
      <c r="B167" s="25" t="s">
        <v>169</v>
      </c>
      <c r="C167" s="25" t="s">
        <v>119</v>
      </c>
      <c r="D167" s="25" t="s">
        <v>120</v>
      </c>
      <c r="E167" s="25" t="s">
        <v>121</v>
      </c>
      <c r="F167" s="25" t="s">
        <v>122</v>
      </c>
      <c r="G167" s="25" t="s">
        <v>123</v>
      </c>
      <c r="H167" s="26" t="s">
        <v>124</v>
      </c>
      <c r="J167" s="72"/>
      <c r="K167" s="72"/>
    </row>
    <row r="168" spans="1:11" x14ac:dyDescent="0.25">
      <c r="A168" s="27" t="s">
        <v>150</v>
      </c>
      <c r="B168" s="28">
        <v>46974</v>
      </c>
      <c r="C168" s="35"/>
      <c r="D168" s="35"/>
      <c r="E168" s="35"/>
      <c r="F168" s="84">
        <v>74.680000000000007</v>
      </c>
      <c r="G168" s="84">
        <v>95.94</v>
      </c>
      <c r="H168" s="87">
        <f>ROUND((F168*C168)+(G168*D168),-3)</f>
        <v>0</v>
      </c>
      <c r="J168" s="72"/>
      <c r="K168" s="72"/>
    </row>
    <row r="169" spans="1:11" x14ac:dyDescent="0.25">
      <c r="A169" s="29" t="s">
        <v>170</v>
      </c>
      <c r="B169" s="30">
        <v>47002</v>
      </c>
      <c r="C169" s="36">
        <v>2223883</v>
      </c>
      <c r="D169" s="36"/>
      <c r="E169" s="36"/>
      <c r="F169" s="85">
        <v>45.98</v>
      </c>
      <c r="G169" s="93">
        <v>0</v>
      </c>
      <c r="H169" s="86">
        <f>ROUND((F169*C169)+(G169*D169),-3)</f>
        <v>102254000</v>
      </c>
      <c r="J169" s="72"/>
      <c r="K169" s="72"/>
    </row>
    <row r="170" spans="1:11" x14ac:dyDescent="0.25">
      <c r="A170" s="27" t="s">
        <v>138</v>
      </c>
      <c r="B170" s="63" t="s">
        <v>139</v>
      </c>
      <c r="C170" s="35"/>
      <c r="D170" s="35"/>
      <c r="E170" s="35"/>
      <c r="F170" s="84">
        <v>45.98</v>
      </c>
      <c r="G170" s="94">
        <v>0</v>
      </c>
      <c r="H170" s="87">
        <f t="shared" ref="H170:H172" si="27">ROUND((F170*C170)+(G170*D170),-3)</f>
        <v>0</v>
      </c>
      <c r="J170" s="72"/>
      <c r="K170" s="72"/>
    </row>
    <row r="171" spans="1:11" x14ac:dyDescent="0.25">
      <c r="A171" s="29" t="s">
        <v>171</v>
      </c>
      <c r="B171" s="30">
        <v>47051</v>
      </c>
      <c r="C171" s="36"/>
      <c r="D171" s="36"/>
      <c r="E171" s="36"/>
      <c r="F171" s="85">
        <v>74.680000000000007</v>
      </c>
      <c r="G171" s="85">
        <v>95.94</v>
      </c>
      <c r="H171" s="88">
        <f t="shared" si="27"/>
        <v>0</v>
      </c>
      <c r="J171" s="72"/>
      <c r="K171" s="72"/>
    </row>
    <row r="172" spans="1:11" x14ac:dyDescent="0.25">
      <c r="A172" s="27" t="s">
        <v>150</v>
      </c>
      <c r="B172" s="63">
        <v>47072</v>
      </c>
      <c r="C172" s="35"/>
      <c r="D172" s="35"/>
      <c r="E172" s="35"/>
      <c r="F172" s="84">
        <v>74.680000000000007</v>
      </c>
      <c r="G172" s="84">
        <v>95.94</v>
      </c>
      <c r="H172" s="87">
        <f t="shared" si="27"/>
        <v>0</v>
      </c>
      <c r="J172" s="72"/>
      <c r="K172" s="72"/>
    </row>
    <row r="173" spans="1:11" x14ac:dyDescent="0.25">
      <c r="A173" s="29" t="s">
        <v>172</v>
      </c>
      <c r="B173" s="30">
        <v>47093</v>
      </c>
      <c r="C173" s="36">
        <v>2223883</v>
      </c>
      <c r="D173" s="36">
        <f>ROUNDUP('Appendix A - Supply Tables'!$B$173/2, 0)</f>
        <v>1484686</v>
      </c>
      <c r="E173" s="36"/>
      <c r="F173" s="85">
        <v>46.81</v>
      </c>
      <c r="G173" s="85">
        <v>46.31</v>
      </c>
      <c r="H173" s="86">
        <f>ROUND((F173*C173)+(G173*D173),-3)</f>
        <v>172856000</v>
      </c>
      <c r="J173" s="72"/>
      <c r="K173" s="72"/>
    </row>
    <row r="174" spans="1:11" x14ac:dyDescent="0.25">
      <c r="A174" s="27" t="s">
        <v>150</v>
      </c>
      <c r="B174" s="28">
        <v>47170</v>
      </c>
      <c r="C174" s="35"/>
      <c r="D174" s="35"/>
      <c r="E174" s="35"/>
      <c r="F174" s="84">
        <v>74.680000000000007</v>
      </c>
      <c r="G174" s="84">
        <v>95.94</v>
      </c>
      <c r="H174" s="87">
        <f>ROUND((F174*C174)+(G174*D174),-3)</f>
        <v>0</v>
      </c>
      <c r="J174" s="72"/>
      <c r="K174" s="72"/>
    </row>
    <row r="175" spans="1:11" ht="14.25" customHeight="1" x14ac:dyDescent="0.25">
      <c r="A175" s="29" t="s">
        <v>173</v>
      </c>
      <c r="B175" s="30">
        <v>47184</v>
      </c>
      <c r="C175" s="36">
        <v>1686232</v>
      </c>
      <c r="D175" s="36"/>
      <c r="E175" s="36"/>
      <c r="F175" s="85">
        <v>47.61</v>
      </c>
      <c r="G175" s="85">
        <v>47.1</v>
      </c>
      <c r="H175" s="86">
        <f>ROUND((F175*C175)+(G175*D175),-3)</f>
        <v>80282000</v>
      </c>
      <c r="J175" s="72"/>
      <c r="K175" s="72"/>
    </row>
    <row r="176" spans="1:11" x14ac:dyDescent="0.25">
      <c r="A176" s="27" t="s">
        <v>150</v>
      </c>
      <c r="B176" s="28">
        <v>47261</v>
      </c>
      <c r="C176" s="35"/>
      <c r="D176" s="35"/>
      <c r="E176" s="35"/>
      <c r="F176" s="84">
        <v>79.900000000000006</v>
      </c>
      <c r="G176" s="84">
        <v>102.65</v>
      </c>
      <c r="H176" s="87">
        <f>ROUND((F176*C176)+(G176*D176),-3)</f>
        <v>0</v>
      </c>
      <c r="J176" s="72"/>
      <c r="K176" s="72"/>
    </row>
    <row r="177" spans="1:11" x14ac:dyDescent="0.25">
      <c r="A177" s="29" t="s">
        <v>174</v>
      </c>
      <c r="B177" s="30">
        <v>47275</v>
      </c>
      <c r="C177" s="36">
        <v>1686233</v>
      </c>
      <c r="D177" s="36">
        <f>'Appendix A - Supply Tables'!$B$174/2</f>
        <v>1422482</v>
      </c>
      <c r="E177" s="36"/>
      <c r="F177" s="85">
        <v>48.42</v>
      </c>
      <c r="G177" s="85">
        <v>47.9</v>
      </c>
      <c r="H177" s="86">
        <f>ROUND((F177*C177)+(G177*D177),-3)</f>
        <v>149784000</v>
      </c>
      <c r="J177" s="72"/>
      <c r="K177" s="72"/>
    </row>
    <row r="178" spans="1:11" x14ac:dyDescent="0.25">
      <c r="A178" s="31" t="s">
        <v>132</v>
      </c>
      <c r="B178" s="32"/>
      <c r="C178" s="33">
        <f>SUM(C168:C177)</f>
        <v>7820231</v>
      </c>
      <c r="D178" s="33">
        <f t="shared" ref="D178" si="28">SUM(D168:D177)</f>
        <v>2907168</v>
      </c>
      <c r="E178" s="33">
        <f t="shared" ref="E178" si="29">SUM(E168:E177)</f>
        <v>0</v>
      </c>
      <c r="F178" s="33"/>
      <c r="G178" s="33"/>
      <c r="H178" s="34">
        <f>(SUM(H168:H177))</f>
        <v>505176000</v>
      </c>
      <c r="I178" s="64"/>
      <c r="J178" s="72"/>
      <c r="K178" s="72"/>
    </row>
    <row r="179" spans="1:11" x14ac:dyDescent="0.25">
      <c r="C179" s="11"/>
      <c r="D179" s="11"/>
      <c r="J179" s="72"/>
      <c r="K179" s="72"/>
    </row>
    <row r="180" spans="1:11" x14ac:dyDescent="0.25">
      <c r="C180" s="11"/>
      <c r="D180" s="11"/>
      <c r="J180" s="72"/>
      <c r="K180" s="72"/>
    </row>
    <row r="181" spans="1:11" ht="17.25" x14ac:dyDescent="0.3">
      <c r="A181" s="10" t="s">
        <v>182</v>
      </c>
      <c r="J181" s="72"/>
      <c r="K181" s="72"/>
    </row>
    <row r="182" spans="1:11" x14ac:dyDescent="0.25">
      <c r="A182" s="3" t="s">
        <v>116</v>
      </c>
      <c r="J182" s="72"/>
      <c r="K182" s="72"/>
    </row>
    <row r="183" spans="1:11" ht="27.75" customHeight="1" x14ac:dyDescent="0.25">
      <c r="A183" s="24" t="s">
        <v>117</v>
      </c>
      <c r="B183" s="25" t="s">
        <v>176</v>
      </c>
      <c r="C183" s="25" t="s">
        <v>119</v>
      </c>
      <c r="D183" s="25" t="s">
        <v>120</v>
      </c>
      <c r="E183" s="25" t="s">
        <v>121</v>
      </c>
      <c r="F183" s="25" t="s">
        <v>122</v>
      </c>
      <c r="G183" s="25" t="s">
        <v>123</v>
      </c>
      <c r="H183" s="26" t="s">
        <v>124</v>
      </c>
      <c r="J183" s="72"/>
      <c r="K183" s="72"/>
    </row>
    <row r="184" spans="1:11" x14ac:dyDescent="0.25">
      <c r="A184" s="37" t="s">
        <v>125</v>
      </c>
      <c r="B184" s="38">
        <v>45147</v>
      </c>
      <c r="C184" s="39"/>
      <c r="D184" s="39"/>
      <c r="E184" s="39">
        <v>1054000</v>
      </c>
      <c r="F184" s="80">
        <v>51.9</v>
      </c>
      <c r="G184" s="80">
        <v>66.680000000000007</v>
      </c>
      <c r="H184" s="82">
        <v>62491660</v>
      </c>
      <c r="J184" s="72"/>
      <c r="K184" s="72"/>
    </row>
    <row r="185" spans="1:11" x14ac:dyDescent="0.25">
      <c r="A185" s="40" t="s">
        <v>126</v>
      </c>
      <c r="B185" s="41">
        <v>45168</v>
      </c>
      <c r="C185" s="42">
        <v>5657651</v>
      </c>
      <c r="D185" s="42"/>
      <c r="E185" s="42"/>
      <c r="F185" s="81">
        <v>63.03</v>
      </c>
      <c r="G185" s="90">
        <v>0</v>
      </c>
      <c r="H185" s="83">
        <v>356601742.53000003</v>
      </c>
      <c r="J185" s="72"/>
      <c r="K185" s="72"/>
    </row>
    <row r="186" spans="1:11" x14ac:dyDescent="0.25">
      <c r="A186" s="37" t="s">
        <v>183</v>
      </c>
      <c r="B186" s="38">
        <v>45238</v>
      </c>
      <c r="C186" s="39"/>
      <c r="D186" s="39"/>
      <c r="E186" s="39">
        <v>5000000</v>
      </c>
      <c r="F186" s="80">
        <v>51.9</v>
      </c>
      <c r="G186" s="80">
        <v>66.680000000000007</v>
      </c>
      <c r="H186" s="82">
        <v>259500000</v>
      </c>
      <c r="J186" s="72"/>
      <c r="K186" s="72"/>
    </row>
    <row r="187" spans="1:11" x14ac:dyDescent="0.25">
      <c r="A187" s="40" t="s">
        <v>128</v>
      </c>
      <c r="B187" s="41">
        <v>45266</v>
      </c>
      <c r="C187" s="42">
        <v>3442255</v>
      </c>
      <c r="D187" s="42">
        <v>2449759.8400000008</v>
      </c>
      <c r="E187" s="42"/>
      <c r="F187" s="81">
        <v>51.89</v>
      </c>
      <c r="G187" s="81">
        <v>45</v>
      </c>
      <c r="H187" s="83">
        <v>288857804.75</v>
      </c>
      <c r="J187" s="72"/>
      <c r="K187" s="72"/>
    </row>
    <row r="188" spans="1:11" x14ac:dyDescent="0.25">
      <c r="A188" s="37" t="s">
        <v>150</v>
      </c>
      <c r="B188" s="38">
        <v>45336</v>
      </c>
      <c r="C188" s="39"/>
      <c r="D188" s="39"/>
      <c r="E188" s="43"/>
      <c r="F188" s="80">
        <v>56.16</v>
      </c>
      <c r="G188" s="80">
        <v>72.150000000000006</v>
      </c>
      <c r="H188" s="91">
        <v>0</v>
      </c>
      <c r="I188" s="5"/>
      <c r="J188" s="72"/>
      <c r="K188" s="72"/>
    </row>
    <row r="189" spans="1:11" x14ac:dyDescent="0.25">
      <c r="A189" s="40" t="s">
        <v>130</v>
      </c>
      <c r="B189" s="41">
        <v>45357</v>
      </c>
      <c r="C189" s="42">
        <v>5260000</v>
      </c>
      <c r="D189" s="42"/>
      <c r="E189" s="42"/>
      <c r="F189" s="81">
        <v>25.76</v>
      </c>
      <c r="G189" s="90">
        <v>0</v>
      </c>
      <c r="H189" s="83">
        <v>135497600</v>
      </c>
      <c r="J189" s="72"/>
      <c r="K189" s="72"/>
    </row>
    <row r="190" spans="1:11" x14ac:dyDescent="0.25">
      <c r="A190" s="37" t="s">
        <v>150</v>
      </c>
      <c r="B190" s="38">
        <v>45420</v>
      </c>
      <c r="C190" s="39"/>
      <c r="D190" s="39"/>
      <c r="E190" s="39"/>
      <c r="F190" s="80">
        <v>56.16</v>
      </c>
      <c r="G190" s="80">
        <v>72.150000000000006</v>
      </c>
      <c r="H190" s="92">
        <v>0</v>
      </c>
      <c r="J190" s="72"/>
      <c r="K190" s="72"/>
    </row>
    <row r="191" spans="1:11" x14ac:dyDescent="0.25">
      <c r="A191" s="40" t="s">
        <v>131</v>
      </c>
      <c r="B191" s="41">
        <v>45448</v>
      </c>
      <c r="C191" s="42">
        <v>5260000</v>
      </c>
      <c r="D191" s="42">
        <v>1317000</v>
      </c>
      <c r="E191" s="42"/>
      <c r="F191" s="81">
        <v>29.92</v>
      </c>
      <c r="G191" s="81">
        <v>24.02</v>
      </c>
      <c r="H191" s="83">
        <v>189013540</v>
      </c>
      <c r="J191" s="72"/>
      <c r="K191" s="72"/>
    </row>
    <row r="192" spans="1:11" x14ac:dyDescent="0.25">
      <c r="A192" s="44" t="s">
        <v>132</v>
      </c>
      <c r="B192" s="45" t="s">
        <v>133</v>
      </c>
      <c r="C192" s="46">
        <f>SUM(C184:C191)</f>
        <v>19619906</v>
      </c>
      <c r="D192" s="46">
        <f t="shared" ref="D192" si="30">SUM(D184:D191)</f>
        <v>3766759.8400000008</v>
      </c>
      <c r="E192" s="46">
        <f t="shared" ref="E192" si="31">SUM(E184:E191)</f>
        <v>6054000</v>
      </c>
      <c r="F192" s="76"/>
      <c r="G192" s="59" t="s">
        <v>133</v>
      </c>
      <c r="H192" s="34">
        <f>(SUM(H182:H191))</f>
        <v>1291962347.28</v>
      </c>
      <c r="I192" s="64"/>
      <c r="J192" s="72"/>
      <c r="K192" s="72"/>
    </row>
    <row r="193" spans="1:11" x14ac:dyDescent="0.25">
      <c r="A193" s="9"/>
      <c r="B193" s="9"/>
      <c r="C193" s="9"/>
      <c r="D193" s="9"/>
      <c r="E193" s="9"/>
      <c r="F193" s="9"/>
      <c r="G193" s="9"/>
      <c r="J193" s="72"/>
      <c r="K193" s="72"/>
    </row>
    <row r="194" spans="1:11" x14ac:dyDescent="0.25">
      <c r="A194" s="2" t="s">
        <v>184</v>
      </c>
      <c r="B194" s="9"/>
      <c r="C194" s="9"/>
      <c r="D194" s="9"/>
      <c r="E194" s="9"/>
      <c r="F194" s="9"/>
      <c r="G194" s="9"/>
      <c r="J194" s="72"/>
      <c r="K194" s="72"/>
    </row>
    <row r="195" spans="1:11" ht="27.75" customHeight="1" x14ac:dyDescent="0.25">
      <c r="A195" s="24" t="s">
        <v>117</v>
      </c>
      <c r="B195" s="25" t="s">
        <v>135</v>
      </c>
      <c r="C195" s="25" t="s">
        <v>119</v>
      </c>
      <c r="D195" s="25" t="s">
        <v>120</v>
      </c>
      <c r="E195" s="25" t="s">
        <v>121</v>
      </c>
      <c r="F195" s="25" t="s">
        <v>122</v>
      </c>
      <c r="G195" s="25" t="s">
        <v>123</v>
      </c>
      <c r="H195" s="26" t="s">
        <v>124</v>
      </c>
      <c r="J195" s="72"/>
      <c r="K195" s="72"/>
    </row>
    <row r="196" spans="1:11" x14ac:dyDescent="0.25">
      <c r="A196" s="27" t="s">
        <v>129</v>
      </c>
      <c r="B196" s="28">
        <v>45511</v>
      </c>
      <c r="C196" s="35"/>
      <c r="D196" s="35"/>
      <c r="E196" s="35"/>
      <c r="F196" s="80">
        <v>56.16</v>
      </c>
      <c r="G196" s="80">
        <v>72.150000000000006</v>
      </c>
      <c r="H196" s="87">
        <v>0</v>
      </c>
      <c r="J196" s="72"/>
      <c r="K196" s="72"/>
    </row>
    <row r="197" spans="1:11" x14ac:dyDescent="0.25">
      <c r="A197" s="29" t="s">
        <v>136</v>
      </c>
      <c r="B197" s="30">
        <v>45539</v>
      </c>
      <c r="C197" s="36">
        <v>5260000</v>
      </c>
      <c r="D197" s="36"/>
      <c r="E197" s="36"/>
      <c r="F197" s="85">
        <v>29.88</v>
      </c>
      <c r="G197" s="89">
        <v>0</v>
      </c>
      <c r="H197" s="86">
        <v>157169000</v>
      </c>
      <c r="J197" s="72"/>
      <c r="K197" s="72"/>
    </row>
    <row r="198" spans="1:11" x14ac:dyDescent="0.25">
      <c r="A198" s="27" t="s">
        <v>137</v>
      </c>
      <c r="B198" s="28">
        <v>45567</v>
      </c>
      <c r="C198" s="35">
        <v>1022000</v>
      </c>
      <c r="D198" s="35"/>
      <c r="E198" s="35"/>
      <c r="F198" s="80">
        <v>56.16</v>
      </c>
      <c r="G198" s="80">
        <v>72.150000000000006</v>
      </c>
      <c r="H198" s="82">
        <v>57396000</v>
      </c>
      <c r="I198" s="5"/>
      <c r="J198" s="72"/>
      <c r="K198" s="121"/>
    </row>
    <row r="199" spans="1:11" x14ac:dyDescent="0.25">
      <c r="A199" s="29" t="s">
        <v>138</v>
      </c>
      <c r="B199" s="71" t="s">
        <v>139</v>
      </c>
      <c r="C199" s="36"/>
      <c r="D199" s="36"/>
      <c r="E199" s="36"/>
      <c r="F199" s="85"/>
      <c r="G199" s="85"/>
      <c r="H199" s="88">
        <v>0</v>
      </c>
      <c r="J199" s="72"/>
      <c r="K199" s="72"/>
    </row>
    <row r="200" spans="1:11" x14ac:dyDescent="0.25">
      <c r="A200" s="27" t="s">
        <v>150</v>
      </c>
      <c r="B200" s="28">
        <v>45602</v>
      </c>
      <c r="C200" s="35"/>
      <c r="D200" s="35"/>
      <c r="E200" s="35"/>
      <c r="F200" s="80">
        <v>56.16</v>
      </c>
      <c r="G200" s="80">
        <v>72.150000000000006</v>
      </c>
      <c r="H200" s="87">
        <v>0</v>
      </c>
      <c r="J200" s="72"/>
      <c r="K200" s="72"/>
    </row>
    <row r="201" spans="1:11" x14ac:dyDescent="0.25">
      <c r="A201" s="29" t="s">
        <v>140</v>
      </c>
      <c r="B201" s="30">
        <v>45630</v>
      </c>
      <c r="C201" s="36">
        <v>5312871</v>
      </c>
      <c r="D201" s="36">
        <v>2222832</v>
      </c>
      <c r="E201" s="36"/>
      <c r="F201" s="85">
        <v>40.26</v>
      </c>
      <c r="G201" s="85">
        <v>26</v>
      </c>
      <c r="H201" s="86">
        <v>271690000</v>
      </c>
      <c r="I201" t="s">
        <v>141</v>
      </c>
      <c r="J201" s="72"/>
      <c r="K201" s="72"/>
    </row>
    <row r="202" spans="1:11" x14ac:dyDescent="0.25">
      <c r="A202" s="27" t="s">
        <v>150</v>
      </c>
      <c r="B202" s="28">
        <v>45707</v>
      </c>
      <c r="C202" s="35"/>
      <c r="D202" s="35"/>
      <c r="E202" s="35"/>
      <c r="F202" s="80">
        <v>56.16</v>
      </c>
      <c r="G202" s="80">
        <v>72.150000000000006</v>
      </c>
      <c r="H202" s="87">
        <f>ROUND(E202*F202,-3)</f>
        <v>0</v>
      </c>
      <c r="I202" t="s">
        <v>142</v>
      </c>
      <c r="J202" s="72"/>
      <c r="K202" s="72"/>
    </row>
    <row r="203" spans="1:11" x14ac:dyDescent="0.25">
      <c r="A203" s="29" t="s">
        <v>143</v>
      </c>
      <c r="B203" s="30">
        <v>45721</v>
      </c>
      <c r="C203" s="36">
        <v>4638375</v>
      </c>
      <c r="D203" s="36"/>
      <c r="E203" s="36"/>
      <c r="F203" s="217">
        <v>49.45</v>
      </c>
      <c r="G203" s="89">
        <v>0</v>
      </c>
      <c r="H203" s="86">
        <f>ROUND((F203*C203)+(G203*D203),-3)</f>
        <v>229368000</v>
      </c>
      <c r="J203" s="72"/>
      <c r="K203" s="72"/>
    </row>
    <row r="204" spans="1:11" x14ac:dyDescent="0.25">
      <c r="A204" s="27" t="s">
        <v>150</v>
      </c>
      <c r="B204" s="28">
        <v>45798</v>
      </c>
      <c r="C204" s="35"/>
      <c r="D204" s="35"/>
      <c r="E204" s="35"/>
      <c r="F204" s="84">
        <v>60.43</v>
      </c>
      <c r="G204" s="84">
        <v>77.63</v>
      </c>
      <c r="H204" s="87">
        <f>ROUND((F204*C204)+(G204*D204),-3)</f>
        <v>0</v>
      </c>
      <c r="J204" s="72"/>
      <c r="K204" s="72"/>
    </row>
    <row r="205" spans="1:11" x14ac:dyDescent="0.25">
      <c r="A205" s="29" t="s">
        <v>144</v>
      </c>
      <c r="B205" s="30">
        <v>45812</v>
      </c>
      <c r="C205" s="36">
        <v>4638375</v>
      </c>
      <c r="D205" s="36">
        <f>'Appendix A - Supply Tables'!$B$170/2</f>
        <v>1983954.5</v>
      </c>
      <c r="E205" s="36"/>
      <c r="F205" s="217">
        <v>49.9</v>
      </c>
      <c r="G205" s="217">
        <v>45.97</v>
      </c>
      <c r="H205" s="86">
        <f>ROUND((F205*C205)+(G205*D205),-3)</f>
        <v>322657000</v>
      </c>
      <c r="J205" s="121"/>
      <c r="K205" s="72"/>
    </row>
    <row r="206" spans="1:11" x14ac:dyDescent="0.25">
      <c r="A206" s="31" t="s">
        <v>132</v>
      </c>
      <c r="B206" s="32" t="s">
        <v>133</v>
      </c>
      <c r="C206" s="33">
        <f>SUM(C196:C205)</f>
        <v>20871621</v>
      </c>
      <c r="D206" s="33">
        <f t="shared" ref="D206" si="32">SUM(D196:D205)</f>
        <v>4206786.5</v>
      </c>
      <c r="E206" s="33">
        <f t="shared" ref="E206" si="33">SUM(E196:E205)</f>
        <v>0</v>
      </c>
      <c r="F206" s="33"/>
      <c r="G206" s="33"/>
      <c r="H206" s="34">
        <f>(SUM(H196:H205))</f>
        <v>1038280000</v>
      </c>
      <c r="I206" s="64"/>
      <c r="J206" s="72"/>
      <c r="K206" s="72"/>
    </row>
    <row r="207" spans="1:11" x14ac:dyDescent="0.25">
      <c r="J207" s="72"/>
      <c r="K207" s="72"/>
    </row>
    <row r="208" spans="1:11" x14ac:dyDescent="0.25">
      <c r="A208" s="2" t="s">
        <v>185</v>
      </c>
      <c r="B208" s="9"/>
      <c r="C208" s="9"/>
      <c r="D208" s="9"/>
      <c r="E208" s="9"/>
      <c r="F208" s="9"/>
      <c r="G208" s="9"/>
      <c r="H208" s="9"/>
      <c r="J208" s="72"/>
      <c r="K208" s="72"/>
    </row>
    <row r="209" spans="1:11" ht="27.75" customHeight="1" x14ac:dyDescent="0.25">
      <c r="A209" s="24" t="s">
        <v>117</v>
      </c>
      <c r="B209" s="25" t="s">
        <v>146</v>
      </c>
      <c r="C209" s="25" t="s">
        <v>119</v>
      </c>
      <c r="D209" s="25" t="s">
        <v>120</v>
      </c>
      <c r="E209" s="25" t="s">
        <v>121</v>
      </c>
      <c r="F209" s="25" t="s">
        <v>122</v>
      </c>
      <c r="G209" s="25" t="s">
        <v>123</v>
      </c>
      <c r="H209" s="26" t="s">
        <v>124</v>
      </c>
      <c r="J209" s="72"/>
      <c r="K209" s="72"/>
    </row>
    <row r="210" spans="1:11" x14ac:dyDescent="0.25">
      <c r="A210" s="27" t="s">
        <v>150</v>
      </c>
      <c r="B210" s="28">
        <v>45875</v>
      </c>
      <c r="C210" s="35"/>
      <c r="D210" s="35"/>
      <c r="E210" s="35"/>
      <c r="F210" s="84">
        <v>60.43</v>
      </c>
      <c r="G210" s="84">
        <v>77.63</v>
      </c>
      <c r="H210" s="87">
        <f>ROUND((F210*C210)+(G210*D210),-3)</f>
        <v>0</v>
      </c>
      <c r="J210" s="72"/>
      <c r="K210" s="72"/>
    </row>
    <row r="211" spans="1:11" x14ac:dyDescent="0.25">
      <c r="A211" s="29" t="s">
        <v>147</v>
      </c>
      <c r="B211" s="30">
        <v>45903</v>
      </c>
      <c r="C211" s="36">
        <v>4638375</v>
      </c>
      <c r="D211" s="36"/>
      <c r="E211" s="36"/>
      <c r="F211" s="217">
        <v>50.35</v>
      </c>
      <c r="G211" s="95">
        <v>0</v>
      </c>
      <c r="H211" s="86">
        <f>ROUND((F211*C211)+(G211*D211),-3)</f>
        <v>233542000</v>
      </c>
      <c r="J211" s="72"/>
      <c r="K211" s="72"/>
    </row>
    <row r="212" spans="1:11" x14ac:dyDescent="0.25">
      <c r="A212" s="27" t="s">
        <v>138</v>
      </c>
      <c r="B212" s="63" t="s">
        <v>139</v>
      </c>
      <c r="C212" s="35"/>
      <c r="D212" s="35"/>
      <c r="E212" s="35"/>
      <c r="F212" s="84">
        <v>50.35</v>
      </c>
      <c r="G212" s="96">
        <v>0</v>
      </c>
      <c r="H212" s="87">
        <f t="shared" ref="H212:H214" si="34">ROUND((F212*C212)+(G212*D212),-3)</f>
        <v>0</v>
      </c>
      <c r="J212" s="72"/>
      <c r="K212" s="72"/>
    </row>
    <row r="213" spans="1:11" x14ac:dyDescent="0.25">
      <c r="A213" s="29" t="s">
        <v>148</v>
      </c>
      <c r="B213" s="30">
        <v>45931</v>
      </c>
      <c r="C213" s="36"/>
      <c r="D213" s="36"/>
      <c r="E213" s="36"/>
      <c r="F213" s="85">
        <v>60.43</v>
      </c>
      <c r="G213" s="85">
        <v>77.63</v>
      </c>
      <c r="H213" s="88">
        <f t="shared" si="34"/>
        <v>0</v>
      </c>
      <c r="J213" s="72"/>
      <c r="K213" s="72"/>
    </row>
    <row r="214" spans="1:11" x14ac:dyDescent="0.25">
      <c r="A214" s="27" t="s">
        <v>150</v>
      </c>
      <c r="B214" s="28">
        <v>45973</v>
      </c>
      <c r="C214" s="35"/>
      <c r="D214" s="35"/>
      <c r="E214" s="35"/>
      <c r="F214" s="84">
        <v>60.43</v>
      </c>
      <c r="G214" s="84">
        <v>77.63</v>
      </c>
      <c r="H214" s="87">
        <f t="shared" si="34"/>
        <v>0</v>
      </c>
      <c r="J214" s="72"/>
      <c r="K214" s="72"/>
    </row>
    <row r="215" spans="1:11" x14ac:dyDescent="0.25">
      <c r="A215" s="29" t="s">
        <v>149</v>
      </c>
      <c r="B215" s="30">
        <v>45994</v>
      </c>
      <c r="C215" s="36">
        <v>4638375</v>
      </c>
      <c r="D215" s="36">
        <f>'Appendix A - Supply Tables'!$B$170/2</f>
        <v>1983954.5</v>
      </c>
      <c r="E215" s="36"/>
      <c r="F215" s="85">
        <v>51.28</v>
      </c>
      <c r="G215" s="85">
        <v>47.68</v>
      </c>
      <c r="H215" s="86">
        <f>ROUND((F215*C215)+(G215*D215),-3)</f>
        <v>332451000</v>
      </c>
      <c r="K215" s="72"/>
    </row>
    <row r="216" spans="1:11" x14ac:dyDescent="0.25">
      <c r="A216" s="27" t="s">
        <v>150</v>
      </c>
      <c r="B216" s="28">
        <v>46071</v>
      </c>
      <c r="C216" s="35"/>
      <c r="D216" s="35"/>
      <c r="E216" s="35"/>
      <c r="F216" s="84">
        <v>60.43</v>
      </c>
      <c r="G216" s="84">
        <v>77.63</v>
      </c>
      <c r="H216" s="87">
        <f>ROUND((F216*C216)+(G216*D216),-3)</f>
        <v>0</v>
      </c>
      <c r="J216" s="72"/>
      <c r="K216" s="72"/>
    </row>
    <row r="217" spans="1:11" x14ac:dyDescent="0.25">
      <c r="A217" s="29" t="s">
        <v>151</v>
      </c>
      <c r="B217" s="30">
        <v>46085</v>
      </c>
      <c r="C217" s="36">
        <v>3478854</v>
      </c>
      <c r="D217" s="36"/>
      <c r="E217" s="36"/>
      <c r="F217" s="85">
        <v>52.17</v>
      </c>
      <c r="G217" s="95">
        <v>0</v>
      </c>
      <c r="H217" s="86">
        <f>ROUND((F217*C217)+(G217*D217),-3)</f>
        <v>181492000</v>
      </c>
      <c r="J217" s="72"/>
      <c r="K217" s="72"/>
    </row>
    <row r="218" spans="1:11" x14ac:dyDescent="0.25">
      <c r="A218" s="27" t="s">
        <v>150</v>
      </c>
      <c r="B218" s="28">
        <v>46162</v>
      </c>
      <c r="C218" s="35"/>
      <c r="D218" s="35"/>
      <c r="E218" s="35"/>
      <c r="F218" s="84">
        <v>64.739999999999995</v>
      </c>
      <c r="G218" s="84">
        <v>83.17</v>
      </c>
      <c r="H218" s="87">
        <f>ROUND((F218*C218)+(G218*D218),-3)</f>
        <v>0</v>
      </c>
      <c r="J218" s="72"/>
      <c r="K218" s="72"/>
    </row>
    <row r="219" spans="1:11" x14ac:dyDescent="0.25">
      <c r="A219" s="29" t="s">
        <v>152</v>
      </c>
      <c r="B219" s="30">
        <v>46176</v>
      </c>
      <c r="C219" s="36">
        <v>3478853</v>
      </c>
      <c r="D219" s="36">
        <f>ROUNDDOWN('Appendix A - Supply Tables'!$B$171/2,0)</f>
        <v>1744921</v>
      </c>
      <c r="E219" s="36"/>
      <c r="F219" s="85">
        <v>53.08</v>
      </c>
      <c r="G219" s="85">
        <v>49.35</v>
      </c>
      <c r="H219" s="86">
        <f>ROUND((F219*C219)+(G219*D219),-3)</f>
        <v>270769000</v>
      </c>
      <c r="J219" s="72"/>
      <c r="K219" s="72"/>
    </row>
    <row r="220" spans="1:11" x14ac:dyDescent="0.25">
      <c r="A220" s="31" t="s">
        <v>132</v>
      </c>
      <c r="B220" s="32" t="s">
        <v>133</v>
      </c>
      <c r="C220" s="33">
        <f>SUM(C210:C219)</f>
        <v>16234457</v>
      </c>
      <c r="D220" s="33">
        <f t="shared" ref="D220" si="35">SUM(D210:D219)</f>
        <v>3728875.5</v>
      </c>
      <c r="E220" s="33">
        <f t="shared" ref="E220" si="36">SUM(E210:E219)</f>
        <v>0</v>
      </c>
      <c r="F220" s="33"/>
      <c r="G220" s="33"/>
      <c r="H220" s="34">
        <f>(SUM(H210:H219))</f>
        <v>1018254000</v>
      </c>
      <c r="I220" s="64"/>
      <c r="J220" s="72"/>
      <c r="K220" s="72"/>
    </row>
    <row r="221" spans="1:11" x14ac:dyDescent="0.25">
      <c r="J221" s="72"/>
      <c r="K221" s="72"/>
    </row>
    <row r="222" spans="1:11" x14ac:dyDescent="0.25">
      <c r="A222" s="2" t="s">
        <v>186</v>
      </c>
      <c r="B222" s="9"/>
      <c r="C222" s="9"/>
      <c r="D222" s="9"/>
      <c r="E222" s="9"/>
      <c r="F222" s="9"/>
      <c r="G222" s="9"/>
      <c r="H222" s="9"/>
      <c r="J222" s="72"/>
      <c r="K222" s="72"/>
    </row>
    <row r="223" spans="1:11" ht="27.75" customHeight="1" x14ac:dyDescent="0.25">
      <c r="A223" s="24" t="s">
        <v>117</v>
      </c>
      <c r="B223" s="25" t="s">
        <v>154</v>
      </c>
      <c r="C223" s="25" t="s">
        <v>119</v>
      </c>
      <c r="D223" s="25" t="s">
        <v>120</v>
      </c>
      <c r="E223" s="25" t="s">
        <v>121</v>
      </c>
      <c r="F223" s="25" t="s">
        <v>122</v>
      </c>
      <c r="G223" s="25" t="s">
        <v>123</v>
      </c>
      <c r="H223" s="26" t="s">
        <v>124</v>
      </c>
      <c r="J223" s="72"/>
      <c r="K223" s="72"/>
    </row>
    <row r="224" spans="1:11" x14ac:dyDescent="0.25">
      <c r="A224" s="27" t="s">
        <v>150</v>
      </c>
      <c r="B224" s="28">
        <v>46239</v>
      </c>
      <c r="C224" s="35"/>
      <c r="D224" s="35"/>
      <c r="E224" s="35"/>
      <c r="F224" s="84">
        <v>64.739999999999995</v>
      </c>
      <c r="G224" s="84">
        <v>83.17</v>
      </c>
      <c r="H224" s="87">
        <f>ROUND((F224*C224)+(G224*D224),-3)</f>
        <v>0</v>
      </c>
      <c r="J224" s="72"/>
      <c r="K224" s="72"/>
    </row>
    <row r="225" spans="1:11" x14ac:dyDescent="0.25">
      <c r="A225" s="29" t="s">
        <v>155</v>
      </c>
      <c r="B225" s="30">
        <v>46267</v>
      </c>
      <c r="C225" s="36">
        <v>3478853</v>
      </c>
      <c r="D225" s="36"/>
      <c r="E225" s="36"/>
      <c r="F225" s="85">
        <v>54</v>
      </c>
      <c r="G225" s="95">
        <v>0</v>
      </c>
      <c r="H225" s="86">
        <f>ROUND((F225*C225)+(G225*D225),-3)</f>
        <v>187858000</v>
      </c>
      <c r="J225" s="72"/>
      <c r="K225" s="72"/>
    </row>
    <row r="226" spans="1:11" x14ac:dyDescent="0.25">
      <c r="A226" s="27" t="s">
        <v>138</v>
      </c>
      <c r="B226" s="63" t="s">
        <v>139</v>
      </c>
      <c r="C226" s="35"/>
      <c r="D226" s="35"/>
      <c r="E226" s="35"/>
      <c r="F226" s="84">
        <v>53.81</v>
      </c>
      <c r="G226" s="96">
        <v>0</v>
      </c>
      <c r="H226" s="87">
        <f t="shared" ref="H226:H228" si="37">ROUND((F226*C226)+(G226*D226),-3)</f>
        <v>0</v>
      </c>
      <c r="J226" s="72"/>
      <c r="K226" s="72"/>
    </row>
    <row r="227" spans="1:11" x14ac:dyDescent="0.25">
      <c r="A227" s="29" t="s">
        <v>156</v>
      </c>
      <c r="B227" s="30">
        <v>46295</v>
      </c>
      <c r="C227" s="36"/>
      <c r="D227" s="36"/>
      <c r="E227" s="36"/>
      <c r="F227" s="85">
        <v>64.739999999999995</v>
      </c>
      <c r="G227" s="85">
        <v>83.17</v>
      </c>
      <c r="H227" s="88">
        <f t="shared" si="37"/>
        <v>0</v>
      </c>
      <c r="J227" s="72"/>
      <c r="K227" s="72"/>
    </row>
    <row r="228" spans="1:11" x14ac:dyDescent="0.25">
      <c r="A228" s="27" t="s">
        <v>150</v>
      </c>
      <c r="B228" s="28">
        <v>46344</v>
      </c>
      <c r="C228" s="35"/>
      <c r="D228" s="35"/>
      <c r="E228" s="35"/>
      <c r="F228" s="84">
        <v>64.739999999999995</v>
      </c>
      <c r="G228" s="84">
        <v>83.17</v>
      </c>
      <c r="H228" s="87">
        <f t="shared" si="37"/>
        <v>0</v>
      </c>
      <c r="J228" s="72"/>
      <c r="K228" s="72"/>
    </row>
    <row r="229" spans="1:11" x14ac:dyDescent="0.25">
      <c r="A229" s="29" t="s">
        <v>157</v>
      </c>
      <c r="B229" s="30">
        <v>46358</v>
      </c>
      <c r="C229" s="36">
        <v>3478853</v>
      </c>
      <c r="D229" s="36">
        <f>ROUNDUP('Appendix A - Supply Tables'!$B$171/2,0)</f>
        <v>1744922</v>
      </c>
      <c r="E229" s="36"/>
      <c r="F229" s="85">
        <v>54.94</v>
      </c>
      <c r="G229" s="85">
        <v>51.08</v>
      </c>
      <c r="H229" s="86">
        <f>ROUND((F229*C229)+(G229*D229),-3)</f>
        <v>280259000</v>
      </c>
      <c r="J229" s="72"/>
      <c r="K229" s="72"/>
    </row>
    <row r="230" spans="1:11" x14ac:dyDescent="0.25">
      <c r="A230" s="27" t="s">
        <v>150</v>
      </c>
      <c r="B230" s="28">
        <v>46435</v>
      </c>
      <c r="C230" s="35"/>
      <c r="D230" s="35"/>
      <c r="E230" s="35"/>
      <c r="F230" s="84">
        <v>64.739999999999995</v>
      </c>
      <c r="G230" s="84">
        <v>83.17</v>
      </c>
      <c r="H230" s="87">
        <f>ROUND((F230*C230)+(G230*D230),-3)</f>
        <v>0</v>
      </c>
      <c r="J230" s="72"/>
      <c r="K230" s="72"/>
    </row>
    <row r="231" spans="1:11" x14ac:dyDescent="0.25">
      <c r="A231" s="29" t="s">
        <v>158</v>
      </c>
      <c r="B231" s="30">
        <v>46449</v>
      </c>
      <c r="C231" s="36">
        <v>3041832</v>
      </c>
      <c r="D231" s="36"/>
      <c r="E231" s="36"/>
      <c r="F231" s="85">
        <v>55.93</v>
      </c>
      <c r="G231" s="95">
        <v>0</v>
      </c>
      <c r="H231" s="86">
        <f>ROUND((F231*C231)+(G231*D231),-3)</f>
        <v>170130000</v>
      </c>
      <c r="J231" s="72"/>
      <c r="K231" s="72"/>
    </row>
    <row r="232" spans="1:11" x14ac:dyDescent="0.25">
      <c r="A232" s="27" t="s">
        <v>150</v>
      </c>
      <c r="B232" s="28">
        <v>46526</v>
      </c>
      <c r="C232" s="35"/>
      <c r="D232" s="35"/>
      <c r="E232" s="35"/>
      <c r="F232" s="84">
        <v>69.55</v>
      </c>
      <c r="G232" s="84">
        <v>89.35</v>
      </c>
      <c r="H232" s="87">
        <f>ROUND((F232*C232)+(G232*D232),-3)</f>
        <v>0</v>
      </c>
      <c r="J232" s="72"/>
      <c r="K232" s="72"/>
    </row>
    <row r="233" spans="1:11" x14ac:dyDescent="0.25">
      <c r="A233" s="29" t="s">
        <v>159</v>
      </c>
      <c r="B233" s="30">
        <v>46540</v>
      </c>
      <c r="C233" s="36">
        <v>3041832</v>
      </c>
      <c r="D233" s="36">
        <f>'Appendix A - Supply Tables'!$B$172/2</f>
        <v>1505889</v>
      </c>
      <c r="E233" s="36"/>
      <c r="F233" s="85">
        <v>56.94</v>
      </c>
      <c r="G233" s="85">
        <v>52.94</v>
      </c>
      <c r="H233" s="86">
        <f>ROUND((F233*C233)+(G233*D233),-3)</f>
        <v>252924000</v>
      </c>
      <c r="J233" s="72"/>
      <c r="K233" s="72"/>
    </row>
    <row r="234" spans="1:11" x14ac:dyDescent="0.25">
      <c r="A234" s="31" t="s">
        <v>132</v>
      </c>
      <c r="B234" s="32" t="s">
        <v>133</v>
      </c>
      <c r="C234" s="33">
        <f>SUM(C224:C233)</f>
        <v>13041370</v>
      </c>
      <c r="D234" s="33">
        <f t="shared" ref="D234" si="38">SUM(D224:D233)</f>
        <v>3250811</v>
      </c>
      <c r="E234" s="33">
        <f t="shared" ref="E234" si="39">SUM(E224:E233)</f>
        <v>0</v>
      </c>
      <c r="F234" s="33"/>
      <c r="G234" s="33"/>
      <c r="H234" s="34">
        <f>(SUM(H224:H233))</f>
        <v>891171000</v>
      </c>
      <c r="I234" s="64"/>
      <c r="J234" s="72"/>
      <c r="K234" s="72"/>
    </row>
    <row r="235" spans="1:11" x14ac:dyDescent="0.25">
      <c r="A235" s="9"/>
      <c r="B235" s="9"/>
      <c r="C235" s="9"/>
      <c r="D235" s="9"/>
      <c r="F235" s="9"/>
      <c r="G235" s="9"/>
      <c r="H235" s="9"/>
      <c r="J235" s="72"/>
      <c r="K235" s="72"/>
    </row>
    <row r="236" spans="1:11" x14ac:dyDescent="0.25">
      <c r="A236" s="2" t="s">
        <v>187</v>
      </c>
      <c r="J236" s="72"/>
      <c r="K236" s="72"/>
    </row>
    <row r="237" spans="1:11" ht="25.5" x14ac:dyDescent="0.25">
      <c r="A237" s="24" t="s">
        <v>117</v>
      </c>
      <c r="B237" s="25" t="s">
        <v>161</v>
      </c>
      <c r="C237" s="25" t="s">
        <v>119</v>
      </c>
      <c r="D237" s="25" t="s">
        <v>120</v>
      </c>
      <c r="E237" s="25" t="s">
        <v>121</v>
      </c>
      <c r="F237" s="25" t="s">
        <v>122</v>
      </c>
      <c r="G237" s="25" t="s">
        <v>123</v>
      </c>
      <c r="H237" s="26" t="s">
        <v>124</v>
      </c>
      <c r="J237" s="72"/>
      <c r="K237" s="72"/>
    </row>
    <row r="238" spans="1:11" x14ac:dyDescent="0.25">
      <c r="A238" s="27" t="s">
        <v>129</v>
      </c>
      <c r="B238" s="28">
        <v>46603</v>
      </c>
      <c r="C238" s="35"/>
      <c r="D238" s="35"/>
      <c r="E238" s="35"/>
      <c r="F238" s="84">
        <v>69.55</v>
      </c>
      <c r="G238" s="84">
        <v>89.35</v>
      </c>
      <c r="H238" s="87">
        <f>ROUND((F238*C238)+(G238*D238),-3)</f>
        <v>0</v>
      </c>
      <c r="J238" s="72"/>
      <c r="K238" s="72"/>
    </row>
    <row r="239" spans="1:11" x14ac:dyDescent="0.25">
      <c r="A239" s="29" t="s">
        <v>162</v>
      </c>
      <c r="B239" s="30">
        <v>46631</v>
      </c>
      <c r="C239" s="36">
        <v>3041833</v>
      </c>
      <c r="D239" s="36"/>
      <c r="E239" s="36"/>
      <c r="F239" s="85">
        <v>57.97</v>
      </c>
      <c r="G239" s="93">
        <v>0</v>
      </c>
      <c r="H239" s="86">
        <f>ROUND((F239*C239)+(G239*D239),-3)</f>
        <v>176335000</v>
      </c>
      <c r="J239" s="72"/>
      <c r="K239" s="72"/>
    </row>
    <row r="240" spans="1:11" x14ac:dyDescent="0.25">
      <c r="A240" s="27" t="s">
        <v>163</v>
      </c>
      <c r="B240" s="63">
        <v>46659</v>
      </c>
      <c r="C240" s="35"/>
      <c r="D240" s="35"/>
      <c r="E240" s="35"/>
      <c r="F240" s="84">
        <v>69.55</v>
      </c>
      <c r="G240" s="84">
        <v>89.35</v>
      </c>
      <c r="H240" s="87">
        <f t="shared" ref="H240:H242" si="40">ROUND((F240*C240)+(G240*D240),-3)</f>
        <v>0</v>
      </c>
      <c r="J240" s="72"/>
      <c r="K240" s="72"/>
    </row>
    <row r="241" spans="1:11" x14ac:dyDescent="0.25">
      <c r="A241" s="218" t="s">
        <v>164</v>
      </c>
      <c r="B241" s="30">
        <v>46687</v>
      </c>
      <c r="C241" s="36"/>
      <c r="D241" s="36"/>
      <c r="E241" s="36"/>
      <c r="F241" s="85">
        <v>109.91</v>
      </c>
      <c r="G241" s="93">
        <v>0</v>
      </c>
      <c r="H241" s="88">
        <f t="shared" si="40"/>
        <v>0</v>
      </c>
      <c r="J241" s="72"/>
      <c r="K241" s="72"/>
    </row>
    <row r="242" spans="1:11" x14ac:dyDescent="0.25">
      <c r="A242" s="27" t="s">
        <v>150</v>
      </c>
      <c r="B242" s="28">
        <v>46701</v>
      </c>
      <c r="C242" s="35"/>
      <c r="D242" s="35"/>
      <c r="E242" s="35"/>
      <c r="F242" s="84">
        <v>69.55</v>
      </c>
      <c r="G242" s="84">
        <v>89.35</v>
      </c>
      <c r="H242" s="87">
        <f t="shared" si="40"/>
        <v>0</v>
      </c>
      <c r="J242" s="72"/>
      <c r="K242" s="72"/>
    </row>
    <row r="243" spans="1:11" x14ac:dyDescent="0.25">
      <c r="A243" s="29" t="s">
        <v>165</v>
      </c>
      <c r="B243" s="30">
        <v>46722</v>
      </c>
      <c r="C243" s="36">
        <v>3041833</v>
      </c>
      <c r="D243" s="36">
        <f>'Appendix A - Supply Tables'!$B$172/2</f>
        <v>1505889</v>
      </c>
      <c r="E243" s="36"/>
      <c r="F243" s="85">
        <v>59.02</v>
      </c>
      <c r="G243" s="85">
        <v>54.87</v>
      </c>
      <c r="H243" s="86">
        <f>ROUND((F243*C243)+(G243*D243),-3)</f>
        <v>262157000</v>
      </c>
      <c r="J243" s="72"/>
      <c r="K243" s="72"/>
    </row>
    <row r="244" spans="1:11" x14ac:dyDescent="0.25">
      <c r="A244" s="27" t="s">
        <v>129</v>
      </c>
      <c r="B244" s="28">
        <v>46799</v>
      </c>
      <c r="C244" s="35"/>
      <c r="D244" s="35"/>
      <c r="E244" s="35"/>
      <c r="F244" s="84">
        <v>69.55</v>
      </c>
      <c r="G244" s="84">
        <v>89.35</v>
      </c>
      <c r="H244" s="87">
        <f>ROUND((F244*C244)+(G244*D244),-3)</f>
        <v>0</v>
      </c>
      <c r="J244" s="72"/>
      <c r="K244" s="72"/>
    </row>
    <row r="245" spans="1:11" x14ac:dyDescent="0.25">
      <c r="A245" s="29" t="s">
        <v>166</v>
      </c>
      <c r="B245" s="30">
        <v>46813</v>
      </c>
      <c r="C245" s="36">
        <v>2223883</v>
      </c>
      <c r="D245" s="36"/>
      <c r="E245" s="36"/>
      <c r="F245" s="85">
        <v>60.08</v>
      </c>
      <c r="G245" s="93">
        <v>0</v>
      </c>
      <c r="H245" s="86">
        <f>ROUND((F245*C245)+(G245*D245),-3)</f>
        <v>133611000</v>
      </c>
      <c r="J245" s="72"/>
      <c r="K245" s="72"/>
    </row>
    <row r="246" spans="1:11" x14ac:dyDescent="0.25">
      <c r="A246" s="27" t="s">
        <v>150</v>
      </c>
      <c r="B246" s="28">
        <v>46897</v>
      </c>
      <c r="C246" s="35"/>
      <c r="D246" s="35"/>
      <c r="E246" s="35"/>
      <c r="F246" s="84">
        <v>74.680000000000007</v>
      </c>
      <c r="G246" s="84">
        <v>95.94</v>
      </c>
      <c r="H246" s="87">
        <f>ROUND((F246*C246)+(G246*D246),-3)</f>
        <v>0</v>
      </c>
      <c r="J246" s="72"/>
      <c r="K246" s="72"/>
    </row>
    <row r="247" spans="1:11" x14ac:dyDescent="0.25">
      <c r="A247" s="29" t="s">
        <v>167</v>
      </c>
      <c r="B247" s="30">
        <v>46911</v>
      </c>
      <c r="C247" s="36">
        <v>2223883</v>
      </c>
      <c r="D247" s="36">
        <f>ROUNDDOWN('Appendix A - Supply Tables'!$B$173/2, 0)</f>
        <v>1484685</v>
      </c>
      <c r="E247" s="36"/>
      <c r="F247" s="85">
        <v>61.16</v>
      </c>
      <c r="G247" s="85">
        <v>56.86</v>
      </c>
      <c r="H247" s="86">
        <f>ROUND((F247*C247)+(G247*D247),-3)</f>
        <v>220432000</v>
      </c>
      <c r="J247" s="72"/>
      <c r="K247" s="72"/>
    </row>
    <row r="248" spans="1:11" x14ac:dyDescent="0.25">
      <c r="A248" s="31" t="s">
        <v>132</v>
      </c>
      <c r="B248" s="32" t="s">
        <v>133</v>
      </c>
      <c r="C248" s="33">
        <f>SUM(C238:C247)</f>
        <v>10531432</v>
      </c>
      <c r="D248" s="33">
        <f t="shared" ref="D248" si="41">SUM(D238:D247)</f>
        <v>2990574</v>
      </c>
      <c r="E248" s="33">
        <f t="shared" ref="E248" si="42">SUM(E238:E247)</f>
        <v>0</v>
      </c>
      <c r="F248" s="33"/>
      <c r="G248" s="33"/>
      <c r="H248" s="34">
        <f>(SUM(H238:H247))</f>
        <v>792535000</v>
      </c>
      <c r="I248" s="64"/>
      <c r="J248" s="72"/>
      <c r="K248" s="72"/>
    </row>
    <row r="249" spans="1:11" x14ac:dyDescent="0.25">
      <c r="J249" s="72"/>
      <c r="K249" s="72"/>
    </row>
    <row r="250" spans="1:11" x14ac:dyDescent="0.25">
      <c r="A250" s="2" t="s">
        <v>188</v>
      </c>
      <c r="J250" s="72"/>
      <c r="K250" s="72"/>
    </row>
    <row r="251" spans="1:11" ht="25.5" x14ac:dyDescent="0.25">
      <c r="A251" s="24" t="s">
        <v>117</v>
      </c>
      <c r="B251" s="25" t="s">
        <v>169</v>
      </c>
      <c r="C251" s="25" t="s">
        <v>119</v>
      </c>
      <c r="D251" s="25" t="s">
        <v>120</v>
      </c>
      <c r="E251" s="25" t="s">
        <v>121</v>
      </c>
      <c r="F251" s="25" t="s">
        <v>122</v>
      </c>
      <c r="G251" s="25" t="s">
        <v>123</v>
      </c>
      <c r="H251" s="26" t="s">
        <v>124</v>
      </c>
      <c r="J251" s="72"/>
      <c r="K251" s="72"/>
    </row>
    <row r="252" spans="1:11" x14ac:dyDescent="0.25">
      <c r="A252" s="27" t="s">
        <v>129</v>
      </c>
      <c r="B252" s="28">
        <v>46974</v>
      </c>
      <c r="C252" s="35"/>
      <c r="D252" s="35"/>
      <c r="E252" s="35"/>
      <c r="F252" s="84">
        <v>74.680000000000007</v>
      </c>
      <c r="G252" s="84">
        <v>95.94</v>
      </c>
      <c r="H252" s="87">
        <f>ROUND((F252*C252)+(G252*D252),-3)</f>
        <v>0</v>
      </c>
      <c r="J252" s="72"/>
      <c r="K252" s="72"/>
    </row>
    <row r="253" spans="1:11" x14ac:dyDescent="0.25">
      <c r="A253" s="29" t="s">
        <v>170</v>
      </c>
      <c r="B253" s="30">
        <v>47002</v>
      </c>
      <c r="C253" s="36">
        <v>2223883</v>
      </c>
      <c r="D253" s="36"/>
      <c r="E253" s="36"/>
      <c r="F253" s="85">
        <v>62.26</v>
      </c>
      <c r="G253" s="93">
        <v>0</v>
      </c>
      <c r="H253" s="86">
        <f>ROUND((F253*C253)+(G253*D253),-3)</f>
        <v>138459000</v>
      </c>
      <c r="J253" s="72"/>
      <c r="K253" s="72"/>
    </row>
    <row r="254" spans="1:11" x14ac:dyDescent="0.25">
      <c r="A254" s="27" t="s">
        <v>138</v>
      </c>
      <c r="B254" s="63" t="s">
        <v>139</v>
      </c>
      <c r="C254" s="35"/>
      <c r="D254" s="35"/>
      <c r="E254" s="35"/>
      <c r="F254" s="84">
        <v>62.06</v>
      </c>
      <c r="G254" s="94">
        <v>0</v>
      </c>
      <c r="H254" s="87">
        <f t="shared" ref="H254:H256" si="43">ROUND((F254*C254)+(G254*D254),-3)</f>
        <v>0</v>
      </c>
      <c r="J254" s="72"/>
      <c r="K254" s="72"/>
    </row>
    <row r="255" spans="1:11" x14ac:dyDescent="0.25">
      <c r="A255" s="29" t="s">
        <v>171</v>
      </c>
      <c r="B255" s="30">
        <v>47051</v>
      </c>
      <c r="C255" s="36"/>
      <c r="D255" s="36"/>
      <c r="E255" s="36"/>
      <c r="F255" s="85">
        <v>74.680000000000007</v>
      </c>
      <c r="G255" s="85">
        <v>95.94</v>
      </c>
      <c r="H255" s="88">
        <f t="shared" si="43"/>
        <v>0</v>
      </c>
      <c r="J255" s="72"/>
      <c r="K255" s="72"/>
    </row>
    <row r="256" spans="1:11" x14ac:dyDescent="0.25">
      <c r="A256" s="27" t="s">
        <v>150</v>
      </c>
      <c r="B256" s="63">
        <v>47072</v>
      </c>
      <c r="C256" s="35"/>
      <c r="D256" s="35"/>
      <c r="E256" s="35"/>
      <c r="F256" s="84">
        <v>74.680000000000007</v>
      </c>
      <c r="G256" s="84">
        <v>95.94</v>
      </c>
      <c r="H256" s="87">
        <f t="shared" si="43"/>
        <v>0</v>
      </c>
      <c r="J256" s="72"/>
      <c r="K256" s="72"/>
    </row>
    <row r="257" spans="1:11" x14ac:dyDescent="0.25">
      <c r="A257" s="29" t="s">
        <v>172</v>
      </c>
      <c r="B257" s="30">
        <v>47093</v>
      </c>
      <c r="C257" s="36">
        <v>2223883</v>
      </c>
      <c r="D257" s="36">
        <f>ROUNDUP('Appendix A - Supply Tables'!$B$173/2, 0)</f>
        <v>1484686</v>
      </c>
      <c r="E257" s="36"/>
      <c r="F257" s="85">
        <v>63.38</v>
      </c>
      <c r="G257" s="85">
        <v>58.92</v>
      </c>
      <c r="H257" s="86">
        <f>ROUND((F257*C257)+(G257*D257),-3)</f>
        <v>228427000</v>
      </c>
      <c r="J257" s="72"/>
      <c r="K257" s="72"/>
    </row>
    <row r="258" spans="1:11" x14ac:dyDescent="0.25">
      <c r="A258" s="27" t="s">
        <v>150</v>
      </c>
      <c r="B258" s="28">
        <v>47170</v>
      </c>
      <c r="C258" s="35"/>
      <c r="D258" s="35"/>
      <c r="E258" s="35"/>
      <c r="F258" s="84">
        <v>74.680000000000007</v>
      </c>
      <c r="G258" s="84">
        <v>95.94</v>
      </c>
      <c r="H258" s="87">
        <f>ROUND((F258*C258)+(G258*D258),-3)</f>
        <v>0</v>
      </c>
      <c r="J258" s="72"/>
      <c r="K258" s="72"/>
    </row>
    <row r="259" spans="1:11" x14ac:dyDescent="0.25">
      <c r="A259" s="29" t="s">
        <v>173</v>
      </c>
      <c r="B259" s="30">
        <v>47184</v>
      </c>
      <c r="C259" s="36">
        <v>1686232</v>
      </c>
      <c r="D259" s="36"/>
      <c r="E259" s="36"/>
      <c r="F259" s="85">
        <v>64.459999999999994</v>
      </c>
      <c r="G259" s="85">
        <v>59.92</v>
      </c>
      <c r="H259" s="86">
        <f>ROUND((F259*C259)+(G259*D259),-3)</f>
        <v>108695000</v>
      </c>
      <c r="J259" s="72"/>
      <c r="K259" s="72"/>
    </row>
    <row r="260" spans="1:11" x14ac:dyDescent="0.25">
      <c r="A260" s="27" t="s">
        <v>150</v>
      </c>
      <c r="B260" s="28">
        <v>47261</v>
      </c>
      <c r="C260" s="35"/>
      <c r="D260" s="35"/>
      <c r="E260" s="35"/>
      <c r="F260" s="84">
        <v>79.900000000000006</v>
      </c>
      <c r="G260" s="84">
        <v>102.65</v>
      </c>
      <c r="H260" s="87">
        <f>ROUND((F260*C260)+(G260*D260),-3)</f>
        <v>0</v>
      </c>
      <c r="J260" s="72"/>
      <c r="K260" s="72"/>
    </row>
    <row r="261" spans="1:11" x14ac:dyDescent="0.25">
      <c r="A261" s="29" t="s">
        <v>174</v>
      </c>
      <c r="B261" s="30">
        <v>47275</v>
      </c>
      <c r="C261" s="36">
        <v>1686233</v>
      </c>
      <c r="D261" s="36">
        <f>'Appendix A - Supply Tables'!$B$174/2</f>
        <v>1422482</v>
      </c>
      <c r="E261" s="36"/>
      <c r="F261" s="85">
        <v>65.56</v>
      </c>
      <c r="G261" s="85">
        <v>60.94</v>
      </c>
      <c r="H261" s="86">
        <f>ROUND((F261*C261)+(G261*D261),-3)</f>
        <v>197235000</v>
      </c>
      <c r="J261" s="72"/>
      <c r="K261" s="72"/>
    </row>
    <row r="262" spans="1:11" x14ac:dyDescent="0.25">
      <c r="A262" s="31" t="s">
        <v>132</v>
      </c>
      <c r="B262" s="32"/>
      <c r="C262" s="33">
        <f>SUM(C252:C261)</f>
        <v>7820231</v>
      </c>
      <c r="D262" s="33">
        <f t="shared" ref="D262" si="44">SUM(D252:D261)</f>
        <v>2907168</v>
      </c>
      <c r="E262" s="33">
        <f t="shared" ref="E262" si="45">SUM(E252:E261)</f>
        <v>0</v>
      </c>
      <c r="F262" s="33"/>
      <c r="G262" s="33"/>
      <c r="H262" s="34">
        <f>(SUM(H252:H261))</f>
        <v>672816000</v>
      </c>
      <c r="I262" s="64"/>
      <c r="J262" s="72"/>
      <c r="K262" s="72"/>
    </row>
    <row r="263" spans="1:11" x14ac:dyDescent="0.25">
      <c r="K263" s="72"/>
    </row>
    <row r="264" spans="1:11" x14ac:dyDescent="0.25">
      <c r="K264" s="72"/>
    </row>
  </sheetData>
  <sheetProtection algorithmName="SHA-512" hashValue="jtSZ5W22ThaOlOXu+cSf5DyCM8QRikXGouqMsK1zCPBbOQXZ2+ivXmzaZ2RQsIB0PoV0cqxy9cbR2UFk8eWXbA==" saltValue="5/TvNPGlBAWVljkmJvhngQ==" spinCount="100000" sheet="1" objects="1" scenarios="1"/>
  <mergeCells count="6">
    <mergeCell ref="B11:I11"/>
    <mergeCell ref="A3:H3"/>
    <mergeCell ref="A4:H4"/>
    <mergeCell ref="A6:H6"/>
    <mergeCell ref="B8:I8"/>
    <mergeCell ref="B9:I9"/>
  </mergeCells>
  <pageMargins left="0.7" right="0.7" top="0.75" bottom="0.75" header="0.3" footer="0.3"/>
  <pageSetup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430EF1-7111-4C64-9980-14F6C1556EAD}">
  <sheetPr>
    <tabColor theme="1"/>
  </sheetPr>
  <dimension ref="A1:K23"/>
  <sheetViews>
    <sheetView showGridLines="0" tabSelected="1" zoomScale="115" zoomScaleNormal="115" workbookViewId="0">
      <selection activeCell="B2" sqref="B2"/>
    </sheetView>
  </sheetViews>
  <sheetFormatPr defaultRowHeight="15" x14ac:dyDescent="0.25"/>
  <cols>
    <col min="1" max="1" width="12.140625" customWidth="1"/>
    <col min="2" max="2" width="14" bestFit="1" customWidth="1"/>
    <col min="3" max="3" width="17.28515625" customWidth="1"/>
    <col min="4" max="4" width="16.85546875" customWidth="1"/>
    <col min="5" max="5" width="14.5703125" customWidth="1"/>
    <col min="6" max="6" width="18.28515625" bestFit="1" customWidth="1"/>
    <col min="7" max="7" width="17.42578125" bestFit="1" customWidth="1"/>
    <col min="8" max="8" width="19.28515625" bestFit="1" customWidth="1"/>
    <col min="9" max="9" width="12" bestFit="1" customWidth="1"/>
    <col min="10" max="10" width="15.7109375" bestFit="1" customWidth="1"/>
    <col min="11" max="11" width="16.5703125" bestFit="1" customWidth="1"/>
  </cols>
  <sheetData>
    <row r="1" spans="1:11" ht="21" x14ac:dyDescent="0.35">
      <c r="A1" s="1" t="s">
        <v>189</v>
      </c>
    </row>
    <row r="2" spans="1:11" x14ac:dyDescent="0.25">
      <c r="A2" s="75">
        <v>45659</v>
      </c>
      <c r="B2" t="s">
        <v>198</v>
      </c>
      <c r="F2" s="47"/>
    </row>
    <row r="3" spans="1:11" x14ac:dyDescent="0.25">
      <c r="A3" s="241" t="s">
        <v>190</v>
      </c>
      <c r="B3" s="241"/>
      <c r="C3" s="241"/>
      <c r="D3" s="241"/>
      <c r="E3" s="241"/>
      <c r="F3" s="241"/>
      <c r="G3" s="241"/>
      <c r="H3" s="241"/>
    </row>
    <row r="4" spans="1:11" x14ac:dyDescent="0.25">
      <c r="A4" s="234"/>
      <c r="B4" s="234"/>
      <c r="C4" s="234"/>
      <c r="D4" s="234"/>
      <c r="E4" s="234"/>
      <c r="F4" s="234"/>
      <c r="G4" s="234"/>
      <c r="H4" s="234"/>
    </row>
    <row r="5" spans="1:11" x14ac:dyDescent="0.25">
      <c r="A5" s="3" t="s">
        <v>191</v>
      </c>
      <c r="D5" s="234"/>
      <c r="E5" s="234"/>
      <c r="F5" s="234"/>
      <c r="G5" s="234"/>
      <c r="H5" s="234"/>
    </row>
    <row r="6" spans="1:11" ht="27.75" customHeight="1" x14ac:dyDescent="0.25">
      <c r="A6" s="24" t="s">
        <v>117</v>
      </c>
      <c r="B6" s="25" t="s">
        <v>176</v>
      </c>
      <c r="C6" s="25" t="s">
        <v>192</v>
      </c>
      <c r="D6" s="25" t="s">
        <v>120</v>
      </c>
      <c r="E6" s="25" t="s">
        <v>121</v>
      </c>
      <c r="F6" s="25" t="s">
        <v>122</v>
      </c>
      <c r="G6" s="25" t="s">
        <v>123</v>
      </c>
      <c r="H6" s="26" t="s">
        <v>124</v>
      </c>
    </row>
    <row r="7" spans="1:11" x14ac:dyDescent="0.25">
      <c r="A7" s="37" t="s">
        <v>125</v>
      </c>
      <c r="B7" s="38">
        <v>45147</v>
      </c>
      <c r="C7" s="39"/>
      <c r="D7" s="39"/>
      <c r="E7" s="39">
        <v>1054000</v>
      </c>
      <c r="F7" s="80">
        <v>51.9</v>
      </c>
      <c r="G7" s="80">
        <v>66.680000000000007</v>
      </c>
      <c r="H7" s="129">
        <v>62491660</v>
      </c>
      <c r="J7" s="5"/>
      <c r="K7" s="72"/>
    </row>
    <row r="8" spans="1:11" x14ac:dyDescent="0.25">
      <c r="A8" s="40" t="s">
        <v>126</v>
      </c>
      <c r="B8" s="41">
        <v>45168</v>
      </c>
      <c r="C8" s="42">
        <v>5657651</v>
      </c>
      <c r="D8" s="42"/>
      <c r="E8" s="42"/>
      <c r="F8" s="81">
        <v>63.03</v>
      </c>
      <c r="G8" s="90">
        <v>0</v>
      </c>
      <c r="H8" s="128">
        <v>356601742.53000003</v>
      </c>
      <c r="K8" s="72"/>
    </row>
    <row r="9" spans="1:11" x14ac:dyDescent="0.25">
      <c r="A9" s="37" t="s">
        <v>183</v>
      </c>
      <c r="B9" s="38">
        <v>45238</v>
      </c>
      <c r="C9" s="39"/>
      <c r="D9" s="39"/>
      <c r="E9" s="39">
        <v>5000000</v>
      </c>
      <c r="F9" s="80">
        <v>51.9</v>
      </c>
      <c r="G9" s="80">
        <v>66.680000000000007</v>
      </c>
      <c r="H9" s="129">
        <v>259500000</v>
      </c>
      <c r="K9" s="72"/>
    </row>
    <row r="10" spans="1:11" x14ac:dyDescent="0.25">
      <c r="A10" s="40" t="s">
        <v>128</v>
      </c>
      <c r="B10" s="41">
        <v>45266</v>
      </c>
      <c r="C10" s="42">
        <v>3442255</v>
      </c>
      <c r="D10" s="42">
        <v>2449759.8400000008</v>
      </c>
      <c r="E10" s="42"/>
      <c r="F10" s="81">
        <v>51.89</v>
      </c>
      <c r="G10" s="81">
        <v>45</v>
      </c>
      <c r="H10" s="128">
        <v>288857804.75</v>
      </c>
      <c r="J10" s="48"/>
      <c r="K10" s="72"/>
    </row>
    <row r="11" spans="1:11" x14ac:dyDescent="0.25">
      <c r="A11" s="125" t="s">
        <v>130</v>
      </c>
      <c r="B11" s="126">
        <v>45357</v>
      </c>
      <c r="C11" s="122">
        <v>5260000</v>
      </c>
      <c r="D11" s="122"/>
      <c r="E11" s="122"/>
      <c r="F11" s="123">
        <v>25.76</v>
      </c>
      <c r="G11" s="124">
        <v>0</v>
      </c>
      <c r="H11" s="127">
        <v>135497600</v>
      </c>
      <c r="J11" s="55"/>
      <c r="K11" s="72"/>
    </row>
    <row r="12" spans="1:11" x14ac:dyDescent="0.25">
      <c r="A12" s="40" t="s">
        <v>131</v>
      </c>
      <c r="B12" s="41">
        <v>45448</v>
      </c>
      <c r="C12" s="42">
        <v>5260000</v>
      </c>
      <c r="D12" s="42">
        <v>1317000</v>
      </c>
      <c r="E12" s="42"/>
      <c r="F12" s="81">
        <v>29.92</v>
      </c>
      <c r="G12" s="81">
        <v>24.02</v>
      </c>
      <c r="H12" s="128">
        <v>189013540</v>
      </c>
      <c r="I12" s="5"/>
      <c r="J12" s="55"/>
      <c r="K12" s="72"/>
    </row>
    <row r="13" spans="1:11" x14ac:dyDescent="0.25">
      <c r="A13" s="44" t="s">
        <v>132</v>
      </c>
      <c r="B13" s="45" t="s">
        <v>133</v>
      </c>
      <c r="C13" s="46">
        <f>SUM(C7:C12)</f>
        <v>19619906</v>
      </c>
      <c r="D13" s="46">
        <f>SUM(D7:D12)</f>
        <v>3766759.8400000008</v>
      </c>
      <c r="E13" s="46">
        <f>SUM(E7:E12)</f>
        <v>6054000</v>
      </c>
      <c r="F13" s="46"/>
      <c r="G13" s="46"/>
      <c r="H13" s="130">
        <f>SUM(H7:H12)</f>
        <v>1291962347.28</v>
      </c>
      <c r="I13" s="64"/>
      <c r="K13" s="72"/>
    </row>
    <row r="14" spans="1:11" x14ac:dyDescent="0.25">
      <c r="A14" s="234"/>
      <c r="B14" s="234"/>
      <c r="C14" s="234"/>
      <c r="D14" s="234"/>
      <c r="E14" s="234"/>
      <c r="F14" s="234"/>
      <c r="G14" s="234"/>
      <c r="H14" s="234"/>
    </row>
    <row r="15" spans="1:11" x14ac:dyDescent="0.25">
      <c r="A15" s="3" t="s">
        <v>193</v>
      </c>
      <c r="D15" s="234"/>
      <c r="E15" s="234"/>
      <c r="F15" s="234"/>
      <c r="G15" s="234"/>
      <c r="H15" s="234"/>
    </row>
    <row r="16" spans="1:11" ht="27.75" customHeight="1" x14ac:dyDescent="0.25">
      <c r="A16" s="24" t="s">
        <v>117</v>
      </c>
      <c r="B16" s="25" t="s">
        <v>194</v>
      </c>
      <c r="C16" s="25" t="s">
        <v>192</v>
      </c>
      <c r="D16" s="25" t="s">
        <v>120</v>
      </c>
      <c r="E16" s="25" t="s">
        <v>121</v>
      </c>
      <c r="F16" s="25" t="s">
        <v>122</v>
      </c>
      <c r="G16" s="25" t="s">
        <v>123</v>
      </c>
      <c r="H16" s="26" t="s">
        <v>124</v>
      </c>
    </row>
    <row r="17" spans="1:11" x14ac:dyDescent="0.25">
      <c r="A17" s="37" t="s">
        <v>195</v>
      </c>
      <c r="B17" s="38">
        <v>44985</v>
      </c>
      <c r="C17" s="39">
        <v>6185222</v>
      </c>
      <c r="D17" s="39"/>
      <c r="E17" s="39"/>
      <c r="F17" s="80">
        <v>48.5</v>
      </c>
      <c r="G17" s="39">
        <v>0</v>
      </c>
      <c r="H17" s="129">
        <f>C17*F17</f>
        <v>299983267</v>
      </c>
      <c r="J17" s="5"/>
      <c r="K17" s="72"/>
    </row>
    <row r="18" spans="1:11" x14ac:dyDescent="0.25">
      <c r="A18" s="40" t="s">
        <v>196</v>
      </c>
      <c r="B18" s="41">
        <v>45077</v>
      </c>
      <c r="C18" s="42">
        <v>8585000</v>
      </c>
      <c r="D18" s="42">
        <v>2450000</v>
      </c>
      <c r="E18" s="42"/>
      <c r="F18" s="81">
        <v>56.01</v>
      </c>
      <c r="G18" s="81">
        <v>31.12</v>
      </c>
      <c r="H18" s="128">
        <f>(C18*F18)+D18*G18</f>
        <v>557089850</v>
      </c>
      <c r="K18" s="72"/>
    </row>
    <row r="19" spans="1:11" x14ac:dyDescent="0.25">
      <c r="A19" s="44" t="s">
        <v>132</v>
      </c>
      <c r="B19" s="45" t="s">
        <v>133</v>
      </c>
      <c r="C19" s="46">
        <f>SUM(C17:C18)</f>
        <v>14770222</v>
      </c>
      <c r="D19" s="46">
        <f>SUM(D17:D18)</f>
        <v>2450000</v>
      </c>
      <c r="E19" s="46">
        <f>SUM(E16:E18)</f>
        <v>0</v>
      </c>
      <c r="F19" s="76"/>
      <c r="G19" s="59" t="s">
        <v>133</v>
      </c>
      <c r="H19" s="130">
        <f>(SUM(H17:H18))</f>
        <v>857073117</v>
      </c>
      <c r="I19" s="64"/>
      <c r="K19" s="72"/>
    </row>
    <row r="20" spans="1:11" x14ac:dyDescent="0.25">
      <c r="K20" s="72"/>
    </row>
    <row r="21" spans="1:11" x14ac:dyDescent="0.25">
      <c r="A21" s="3" t="s">
        <v>197</v>
      </c>
      <c r="D21" s="234"/>
      <c r="E21" s="234"/>
      <c r="F21" s="234"/>
      <c r="G21" s="234"/>
      <c r="H21" s="234"/>
    </row>
    <row r="22" spans="1:11" ht="25.5" x14ac:dyDescent="0.25">
      <c r="A22" s="24"/>
      <c r="B22" s="25"/>
      <c r="C22" s="25" t="s">
        <v>192</v>
      </c>
      <c r="D22" s="25" t="s">
        <v>120</v>
      </c>
      <c r="E22" s="25" t="s">
        <v>121</v>
      </c>
      <c r="F22" s="25" t="s">
        <v>122</v>
      </c>
      <c r="G22" s="25" t="s">
        <v>123</v>
      </c>
      <c r="H22" s="131" t="s">
        <v>124</v>
      </c>
    </row>
    <row r="23" spans="1:11" x14ac:dyDescent="0.25">
      <c r="A23" s="44" t="s">
        <v>132</v>
      </c>
      <c r="B23" s="45" t="s">
        <v>133</v>
      </c>
      <c r="C23" s="46">
        <f>C13+C19</f>
        <v>34390128</v>
      </c>
      <c r="D23" s="46">
        <f>D13+D19</f>
        <v>6216759.8400000008</v>
      </c>
      <c r="E23" s="46">
        <f>E13+E19</f>
        <v>6054000</v>
      </c>
      <c r="F23" s="46"/>
      <c r="G23" s="46"/>
      <c r="H23" s="130">
        <f>H13+H19</f>
        <v>2149035464.2799997</v>
      </c>
    </row>
  </sheetData>
  <sheetProtection algorithmName="SHA-512" hashValue="KbArPhGRZmT1IFp1YNa+Swhfb2t7Ppyx32Wycia9E7MihNyVMvi82Pt9ClHtAEpWMovcwc1m6XZzzdMjwVTYtQ==" saltValue="hKKmAXTwVaImjhuGNFKhXw==" spinCount="100000" sheet="1" objects="1" scenarios="1"/>
  <mergeCells count="1">
    <mergeCell ref="A3:H3"/>
  </mergeCells>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Forecast Summary</vt:lpstr>
      <vt:lpstr>Allowance Price Tables</vt:lpstr>
      <vt:lpstr>Appendix A - Supply Tables</vt:lpstr>
      <vt:lpstr>Appendix B - By Auction Detail</vt:lpstr>
      <vt:lpstr>Revenue - Historic Actuals</vt:lpstr>
    </vt:vector>
  </TitlesOfParts>
  <Manager/>
  <Company>Washington State Department of Ecology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Ward, Garret (ECY)</dc:creator>
  <cp:keywords/>
  <dc:description/>
  <cp:lastModifiedBy>Baird, Leah (ECY)</cp:lastModifiedBy>
  <cp:revision/>
  <dcterms:created xsi:type="dcterms:W3CDTF">2023-11-14T15:46:59Z</dcterms:created>
  <dcterms:modified xsi:type="dcterms:W3CDTF">2025-01-07T18:43:40Z</dcterms:modified>
  <cp:category/>
  <cp:contentStatus/>
</cp:coreProperties>
</file>