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tateofwa.sharepoint.com/sites/ECY-CPRCOMMS/Shared Documents/General/CCA/PUBLICATIONS/AUCTIONS/June 2025 Revenue Forecast/"/>
    </mc:Choice>
  </mc:AlternateContent>
  <xr:revisionPtr revIDLastSave="4108" documentId="8_{4F4F1C8B-9B1A-4748-A0B0-539FE3162692}" xr6:coauthVersionLast="47" xr6:coauthVersionMax="47" xr10:uidLastSave="{01BA1ECB-AF10-4E35-B4A8-2F9B25F03F54}"/>
  <workbookProtection workbookAlgorithmName="SHA-512" workbookHashValue="CqwVZPMlQrhjK4IrgKdU8j+a3Mf1N75ZWakWtw4sXPhfAzb3OVnO72H7RkEZGLPH1uYQqyhvDd2lb9NR4qPMqw==" workbookSaltValue="5mzmNLXEC28E1IkwKG2sbQ==" workbookSpinCount="100000" lockStructure="1"/>
  <bookViews>
    <workbookView xWindow="-120" yWindow="-120" windowWidth="29040" windowHeight="15720" tabRatio="780" xr2:uid="{CE13D3D4-E0F4-4EFC-AC1E-E07BC6F7A054}"/>
  </bookViews>
  <sheets>
    <sheet name="Forecast Summary" sheetId="8" r:id="rId1"/>
    <sheet name="Allowance Price Tables" sheetId="9" r:id="rId2"/>
    <sheet name="Appendix A - Supply Tables" sheetId="10" r:id="rId3"/>
    <sheet name="Appendix B - By Auction Detail" sheetId="5" r:id="rId4"/>
    <sheet name="Revenue - Historic Actuals" sheetId="11" r:id="rId5"/>
  </sheets>
  <externalReferences>
    <externalReference r:id="rId6"/>
  </externalReferences>
  <definedNames>
    <definedName name="UnspEF">'Appendix A - Supply Tables'!$B$22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5" l="1"/>
  <c r="B170" i="10" l="1"/>
  <c r="B182" i="10"/>
  <c r="L13" i="11" l="1"/>
  <c r="M13" i="11"/>
  <c r="K13" i="11"/>
  <c r="H201" i="5" l="1"/>
  <c r="H202" i="5"/>
  <c r="H203" i="5"/>
  <c r="H204" i="5"/>
  <c r="H205" i="5"/>
  <c r="H206" i="5"/>
  <c r="H207" i="5"/>
  <c r="H209" i="5"/>
  <c r="G256" i="5"/>
  <c r="H196" i="5"/>
  <c r="H194" i="5"/>
  <c r="H192" i="5"/>
  <c r="H189" i="5"/>
  <c r="H188" i="5"/>
  <c r="H26" i="5"/>
  <c r="H24" i="5"/>
  <c r="H22" i="5"/>
  <c r="H19" i="5"/>
  <c r="H18" i="5"/>
  <c r="B171" i="10" l="1"/>
  <c r="H197" i="5" s="1"/>
  <c r="B63" i="9" s="1"/>
  <c r="B23" i="10"/>
  <c r="B24" i="10"/>
  <c r="B25" i="10"/>
  <c r="B26" i="10"/>
  <c r="B27" i="10"/>
  <c r="B28" i="10"/>
  <c r="B29" i="10"/>
  <c r="H263" i="5"/>
  <c r="H261" i="5"/>
  <c r="H259" i="5"/>
  <c r="H258" i="5"/>
  <c r="H256" i="5"/>
  <c r="E252" i="5"/>
  <c r="H179" i="5"/>
  <c r="H177" i="5"/>
  <c r="H175" i="5"/>
  <c r="H174" i="5"/>
  <c r="H172" i="5"/>
  <c r="H117" i="5"/>
  <c r="H118" i="5"/>
  <c r="H119" i="5"/>
  <c r="H120" i="5"/>
  <c r="H121" i="5"/>
  <c r="H122" i="5"/>
  <c r="H123" i="5"/>
  <c r="H125" i="5"/>
  <c r="H89" i="5"/>
  <c r="H88" i="5"/>
  <c r="H86" i="5"/>
  <c r="H29" i="11"/>
  <c r="H27" i="11"/>
  <c r="H28" i="11"/>
  <c r="H25" i="11"/>
  <c r="H26" i="11"/>
  <c r="E30" i="11"/>
  <c r="D30" i="11"/>
  <c r="C30" i="11"/>
  <c r="E181" i="5"/>
  <c r="E265" i="5"/>
  <c r="E95" i="5"/>
  <c r="H45" i="5"/>
  <c r="H47" i="5"/>
  <c r="H48" i="5"/>
  <c r="H49" i="5"/>
  <c r="H51" i="5"/>
  <c r="H53" i="5"/>
  <c r="B65" i="10"/>
  <c r="B66" i="10" s="1"/>
  <c r="C197" i="5"/>
  <c r="E197" i="5"/>
  <c r="E211" i="5"/>
  <c r="H215" i="5"/>
  <c r="H217" i="5"/>
  <c r="H218" i="5"/>
  <c r="H219" i="5"/>
  <c r="H221" i="5"/>
  <c r="H223" i="5"/>
  <c r="E225" i="5"/>
  <c r="H229" i="5"/>
  <c r="H231" i="5"/>
  <c r="H232" i="5"/>
  <c r="H233" i="5"/>
  <c r="H235" i="5"/>
  <c r="H237" i="5"/>
  <c r="E239" i="5"/>
  <c r="H243" i="5"/>
  <c r="H245" i="5"/>
  <c r="H246" i="5"/>
  <c r="H248" i="5"/>
  <c r="H250" i="5"/>
  <c r="B26" i="9"/>
  <c r="E113" i="5"/>
  <c r="E127" i="5"/>
  <c r="E141" i="5"/>
  <c r="E155" i="5"/>
  <c r="E168" i="5"/>
  <c r="B103" i="10"/>
  <c r="B102" i="10"/>
  <c r="C26" i="9"/>
  <c r="H80" i="5"/>
  <c r="H78" i="5"/>
  <c r="H76" i="5"/>
  <c r="H73" i="5"/>
  <c r="H67" i="5"/>
  <c r="H65" i="5"/>
  <c r="H63" i="5"/>
  <c r="H61" i="5"/>
  <c r="H59" i="5"/>
  <c r="H39" i="5"/>
  <c r="H37" i="5"/>
  <c r="H35" i="5"/>
  <c r="H34" i="5"/>
  <c r="H31" i="5"/>
  <c r="C17" i="9"/>
  <c r="C7" i="9" s="1"/>
  <c r="B17" i="9"/>
  <c r="B7" i="9" s="1"/>
  <c r="E20" i="11"/>
  <c r="D20" i="11"/>
  <c r="C20" i="11"/>
  <c r="H20" i="11"/>
  <c r="F23" i="8"/>
  <c r="E23" i="8"/>
  <c r="D23" i="8"/>
  <c r="C23" i="8"/>
  <c r="B23" i="8"/>
  <c r="F22" i="8"/>
  <c r="E22" i="8"/>
  <c r="D22" i="8"/>
  <c r="C22" i="8"/>
  <c r="B22" i="8"/>
  <c r="E9" i="11"/>
  <c r="D9" i="11"/>
  <c r="C9" i="11"/>
  <c r="H8" i="11"/>
  <c r="H7" i="11"/>
  <c r="H166" i="5"/>
  <c r="H164" i="5"/>
  <c r="H162" i="5"/>
  <c r="H161" i="5"/>
  <c r="H159" i="5"/>
  <c r="H75" i="5"/>
  <c r="H153" i="5"/>
  <c r="H151" i="5"/>
  <c r="H149" i="5"/>
  <c r="H148" i="5"/>
  <c r="H147" i="5"/>
  <c r="H145" i="5"/>
  <c r="H62" i="5"/>
  <c r="H139" i="5"/>
  <c r="H137" i="5"/>
  <c r="H135" i="5"/>
  <c r="H134" i="5"/>
  <c r="H133" i="5"/>
  <c r="H131" i="5"/>
  <c r="H33" i="5"/>
  <c r="E82" i="5"/>
  <c r="E69" i="5"/>
  <c r="E55" i="5"/>
  <c r="E41" i="5"/>
  <c r="E27" i="5"/>
  <c r="B172" i="10"/>
  <c r="B173" i="10"/>
  <c r="B174" i="10"/>
  <c r="D163" i="5" s="1"/>
  <c r="D27" i="5"/>
  <c r="D113" i="5"/>
  <c r="B175" i="10"/>
  <c r="B176" i="10"/>
  <c r="B109" i="10"/>
  <c r="B121" i="10" s="1"/>
  <c r="B108" i="10"/>
  <c r="B120" i="10" s="1"/>
  <c r="B107" i="10"/>
  <c r="B119" i="10" s="1"/>
  <c r="B106" i="10"/>
  <c r="B118" i="10" s="1"/>
  <c r="B105" i="10"/>
  <c r="B117" i="10" s="1"/>
  <c r="B104" i="10"/>
  <c r="B116" i="10" s="1"/>
  <c r="B22" i="10"/>
  <c r="B36" i="10"/>
  <c r="B37" i="10"/>
  <c r="B38" i="10"/>
  <c r="B39" i="10"/>
  <c r="B49" i="10"/>
  <c r="B50" i="10"/>
  <c r="B51" i="10"/>
  <c r="B52" i="10"/>
  <c r="B169" i="10"/>
  <c r="H36" i="5"/>
  <c r="C113" i="5"/>
  <c r="H113" i="5"/>
  <c r="B53" i="9" s="1"/>
  <c r="H27" i="5"/>
  <c r="B43" i="9" s="1"/>
  <c r="C27" i="5"/>
  <c r="H32" i="5"/>
  <c r="H9" i="11" l="1"/>
  <c r="C34" i="11"/>
  <c r="D34" i="11"/>
  <c r="H30" i="11"/>
  <c r="E34" i="11"/>
  <c r="D94" i="5"/>
  <c r="D264" i="5"/>
  <c r="D180" i="5"/>
  <c r="D77" i="5"/>
  <c r="D238" i="5"/>
  <c r="D239" i="5" s="1"/>
  <c r="D247" i="5"/>
  <c r="B129" i="10"/>
  <c r="B160" i="10" s="1"/>
  <c r="B185" i="10" s="1"/>
  <c r="D136" i="5"/>
  <c r="D50" i="5"/>
  <c r="D210" i="5"/>
  <c r="D220" i="5"/>
  <c r="D234" i="5"/>
  <c r="D224" i="5"/>
  <c r="D251" i="5"/>
  <c r="D167" i="5"/>
  <c r="D176" i="5"/>
  <c r="B132" i="10"/>
  <c r="B131" i="10"/>
  <c r="B130" i="10"/>
  <c r="B161" i="10" s="1"/>
  <c r="B186" i="10" s="1"/>
  <c r="B8" i="9"/>
  <c r="C8" i="9"/>
  <c r="D126" i="5"/>
  <c r="D127" i="5" s="1"/>
  <c r="B145" i="10"/>
  <c r="B157" i="10" s="1"/>
  <c r="D140" i="5"/>
  <c r="B146" i="10"/>
  <c r="B158" i="10" s="1"/>
  <c r="B183" i="10" s="1"/>
  <c r="D260" i="5"/>
  <c r="B69" i="10"/>
  <c r="B68" i="10"/>
  <c r="B67" i="10"/>
  <c r="B133" i="10" s="1"/>
  <c r="B163" i="10"/>
  <c r="D64" i="5"/>
  <c r="D150" i="5"/>
  <c r="D54" i="5"/>
  <c r="D154" i="5"/>
  <c r="D81" i="5"/>
  <c r="D40" i="5"/>
  <c r="D41" i="5" s="1"/>
  <c r="D68" i="5"/>
  <c r="B147" i="10"/>
  <c r="B159" i="10" s="1"/>
  <c r="B184" i="10" s="1"/>
  <c r="B162" i="10"/>
  <c r="D90" i="5"/>
  <c r="D197" i="5"/>
  <c r="B7" i="8"/>
  <c r="D252" i="5" l="1"/>
  <c r="D95" i="5"/>
  <c r="H34" i="11"/>
  <c r="C126" i="5"/>
  <c r="C210" i="5"/>
  <c r="H210" i="5" s="1"/>
  <c r="D225" i="5"/>
  <c r="D141" i="5"/>
  <c r="D211" i="5"/>
  <c r="C40" i="5"/>
  <c r="C220" i="5"/>
  <c r="H220" i="5" s="1"/>
  <c r="C38" i="5"/>
  <c r="C216" i="5"/>
  <c r="C124" i="5"/>
  <c r="C208" i="5"/>
  <c r="H208" i="5" s="1"/>
  <c r="C50" i="5"/>
  <c r="H50" i="5" s="1"/>
  <c r="C46" i="5"/>
  <c r="C138" i="5"/>
  <c r="H138" i="5" s="1"/>
  <c r="C54" i="5"/>
  <c r="C234" i="5"/>
  <c r="C52" i="5"/>
  <c r="H52" i="5" s="1"/>
  <c r="C60" i="5"/>
  <c r="H60" i="5" s="1"/>
  <c r="C140" i="5"/>
  <c r="H140" i="5" s="1"/>
  <c r="C230" i="5"/>
  <c r="H230" i="5" s="1"/>
  <c r="C150" i="5"/>
  <c r="C146" i="5"/>
  <c r="H146" i="5" s="1"/>
  <c r="C224" i="5"/>
  <c r="H224" i="5" s="1"/>
  <c r="C64" i="5"/>
  <c r="C222" i="5"/>
  <c r="B164" i="10"/>
  <c r="B9" i="9"/>
  <c r="C9" i="9"/>
  <c r="D265" i="5"/>
  <c r="D168" i="5"/>
  <c r="D69" i="5"/>
  <c r="B187" i="10"/>
  <c r="D82" i="5"/>
  <c r="H64" i="5"/>
  <c r="H234" i="5"/>
  <c r="H222" i="5"/>
  <c r="H150" i="5"/>
  <c r="H54" i="5"/>
  <c r="H126" i="5"/>
  <c r="H40" i="5"/>
  <c r="C136" i="5"/>
  <c r="H136" i="5" s="1"/>
  <c r="C132" i="5"/>
  <c r="D181" i="5"/>
  <c r="B188" i="10"/>
  <c r="D155" i="5"/>
  <c r="B189" i="10"/>
  <c r="D55" i="5"/>
  <c r="B21" i="8"/>
  <c r="B10" i="8"/>
  <c r="B24" i="8" s="1"/>
  <c r="H211" i="5" l="1"/>
  <c r="C236" i="5"/>
  <c r="C74" i="5"/>
  <c r="C238" i="5"/>
  <c r="H238" i="5" s="1"/>
  <c r="C68" i="5"/>
  <c r="H68" i="5" s="1"/>
  <c r="C154" i="5"/>
  <c r="H154" i="5" s="1"/>
  <c r="C66" i="5"/>
  <c r="H66" i="5" s="1"/>
  <c r="C163" i="5"/>
  <c r="H163" i="5" s="1"/>
  <c r="C152" i="5"/>
  <c r="H152" i="5" s="1"/>
  <c r="C77" i="5"/>
  <c r="H77" i="5" s="1"/>
  <c r="C247" i="5"/>
  <c r="C160" i="5"/>
  <c r="H160" i="5" s="1"/>
  <c r="C244" i="5"/>
  <c r="H244" i="5" s="1"/>
  <c r="C178" i="5"/>
  <c r="C92" i="5"/>
  <c r="H92" i="5" s="1"/>
  <c r="C94" i="5"/>
  <c r="H94" i="5" s="1"/>
  <c r="C262" i="5"/>
  <c r="H262" i="5" s="1"/>
  <c r="C180" i="5"/>
  <c r="H180" i="5" s="1"/>
  <c r="C264" i="5"/>
  <c r="C176" i="5"/>
  <c r="H176" i="5" s="1"/>
  <c r="C79" i="5"/>
  <c r="H79" i="5" s="1"/>
  <c r="C81" i="5"/>
  <c r="H81" i="5" s="1"/>
  <c r="C173" i="5"/>
  <c r="C251" i="5"/>
  <c r="H251" i="5" s="1"/>
  <c r="C167" i="5"/>
  <c r="H167" i="5" s="1"/>
  <c r="C249" i="5"/>
  <c r="H249" i="5" s="1"/>
  <c r="C90" i="5"/>
  <c r="C260" i="5"/>
  <c r="H260" i="5" s="1"/>
  <c r="C257" i="5"/>
  <c r="C87" i="5"/>
  <c r="C165" i="5"/>
  <c r="H165" i="5" s="1"/>
  <c r="H247" i="5"/>
  <c r="H236" i="5"/>
  <c r="H74" i="5"/>
  <c r="H41" i="5"/>
  <c r="B44" i="9" s="1"/>
  <c r="C41" i="5"/>
  <c r="C141" i="5"/>
  <c r="H132" i="5"/>
  <c r="H141" i="5" s="1"/>
  <c r="B55" i="9" s="1"/>
  <c r="H178" i="5"/>
  <c r="H264" i="5"/>
  <c r="H46" i="5"/>
  <c r="H55" i="5" s="1"/>
  <c r="B45" i="9" s="1"/>
  <c r="C55" i="5"/>
  <c r="H90" i="5"/>
  <c r="H216" i="5"/>
  <c r="H225" i="5" s="1"/>
  <c r="B65" i="9" s="1"/>
  <c r="C225" i="5"/>
  <c r="B64" i="9"/>
  <c r="C211" i="5"/>
  <c r="C127" i="5"/>
  <c r="H124" i="5"/>
  <c r="H127" i="5" s="1"/>
  <c r="B54" i="9" s="1"/>
  <c r="C155" i="5" l="1"/>
  <c r="C168" i="5"/>
  <c r="H239" i="5"/>
  <c r="B66" i="9" s="1"/>
  <c r="B69" i="9" s="1"/>
  <c r="H155" i="5"/>
  <c r="B56" i="9" s="1"/>
  <c r="B59" i="9" s="1"/>
  <c r="H69" i="5"/>
  <c r="B46" i="9" s="1"/>
  <c r="B49" i="9" s="1"/>
  <c r="C239" i="5"/>
  <c r="C252" i="5"/>
  <c r="C69" i="5"/>
  <c r="H252" i="5"/>
  <c r="B67" i="9" s="1"/>
  <c r="C7" i="8"/>
  <c r="D7" i="8"/>
  <c r="H257" i="5"/>
  <c r="H265" i="5" s="1"/>
  <c r="B68" i="9" s="1"/>
  <c r="C265" i="5"/>
  <c r="H173" i="5"/>
  <c r="H181" i="5" s="1"/>
  <c r="B58" i="9" s="1"/>
  <c r="C181" i="5"/>
  <c r="H168" i="5"/>
  <c r="B57" i="9" s="1"/>
  <c r="C82" i="5"/>
  <c r="H82" i="5"/>
  <c r="B47" i="9" s="1"/>
  <c r="C95" i="5"/>
  <c r="H87" i="5"/>
  <c r="H95" i="5" s="1"/>
  <c r="B48" i="9" s="1"/>
  <c r="G7" i="8" l="1"/>
  <c r="G8" i="8" s="1"/>
  <c r="E7" i="8"/>
  <c r="E21" i="8" s="1"/>
  <c r="F7" i="8"/>
  <c r="F21" i="8" s="1"/>
  <c r="D21" i="8"/>
  <c r="D10" i="8"/>
  <c r="D24" i="8" s="1"/>
  <c r="C10" i="8"/>
  <c r="C24" i="8" s="1"/>
  <c r="C21" i="8"/>
  <c r="E10" i="8" l="1"/>
  <c r="E24" i="8" s="1"/>
  <c r="F10" i="8"/>
  <c r="F24" i="8" s="1"/>
</calcChain>
</file>

<file path=xl/sharedStrings.xml><?xml version="1.0" encoding="utf-8"?>
<sst xmlns="http://schemas.openxmlformats.org/spreadsheetml/2006/main" count="640" uniqueCount="223">
  <si>
    <t>$ in thousands</t>
  </si>
  <si>
    <t>FY26</t>
  </si>
  <si>
    <t>FY27</t>
  </si>
  <si>
    <t>FY28</t>
  </si>
  <si>
    <t>FY29</t>
  </si>
  <si>
    <t>Total Auction Revenue</t>
  </si>
  <si>
    <r>
      <t>Table 1: Official (Baseline) Revenue Forecast: Average of Low and High Scenarios</t>
    </r>
    <r>
      <rPr>
        <sz val="11"/>
        <color rgb="FF000000"/>
        <rFont val="Calibri"/>
        <family val="2"/>
      </rPr>
      <t> </t>
    </r>
  </si>
  <si>
    <t>Auction Name</t>
  </si>
  <si>
    <t>Current Vintage Price</t>
  </si>
  <si>
    <t>Future Vintage Price</t>
  </si>
  <si>
    <t>CA/QC Joint Average</t>
  </si>
  <si>
    <t>WA Average</t>
  </si>
  <si>
    <t>Average for Current Forecast</t>
  </si>
  <si>
    <r>
      <t>Table 2: Low Bounding Scenario: California/Québec Price Average</t>
    </r>
    <r>
      <rPr>
        <sz val="11"/>
        <rFont val="Calibri"/>
        <family val="2"/>
      </rPr>
      <t>  </t>
    </r>
  </si>
  <si>
    <t>August 2024 Joint Auction #40</t>
  </si>
  <si>
    <t>November 2024 Joint Auction #41</t>
  </si>
  <si>
    <t>Source: Summary of California Auction Settlement Prices and Results (ca.gov)</t>
  </si>
  <si>
    <t xml:space="preserve">Table 3: High Bounding Scenario: Washington Price Average  </t>
  </si>
  <si>
    <t xml:space="preserve">Source: Auctions and market website - Washington State Department of Ecology. </t>
  </si>
  <si>
    <r>
      <rPr>
        <b/>
        <sz val="11"/>
        <color rgb="FF000000"/>
        <rFont val="Calibri"/>
        <family val="2"/>
      </rPr>
      <t>Table 4: Annual Inflation Factor by Calendar Year</t>
    </r>
    <r>
      <rPr>
        <sz val="11"/>
        <color rgb="FF000000"/>
        <rFont val="Calibri"/>
        <family val="2"/>
      </rPr>
      <t> </t>
    </r>
  </si>
  <si>
    <t>Calendar Year</t>
  </si>
  <si>
    <t>Annual U.S. Consumer Price Index</t>
  </si>
  <si>
    <t>Fiscal Year</t>
  </si>
  <si>
    <t>Forecasted Proceeds</t>
  </si>
  <si>
    <r>
      <t>Table 6: Low Bounding Scenario: California/Québec Price Average</t>
    </r>
    <r>
      <rPr>
        <sz val="11"/>
        <color rgb="FF000000"/>
        <rFont val="Calibri"/>
        <family val="2"/>
      </rPr>
      <t>  </t>
    </r>
  </si>
  <si>
    <r>
      <t>Table 7: High Bounding Scenario: Washington Price Average</t>
    </r>
    <r>
      <rPr>
        <sz val="11"/>
        <color rgb="FF000000"/>
        <rFont val="Calibri"/>
        <family val="2"/>
      </rPr>
      <t>  </t>
    </r>
  </si>
  <si>
    <t xml:space="preserve">Table 8: Total Allowance Supply </t>
  </si>
  <si>
    <t xml:space="preserve">CY
</t>
  </si>
  <si>
    <t>CP1 Scope Total Allowances 
(MT CO2e)</t>
  </si>
  <si>
    <t>Table 9: Allowance Price Containment Reserve (APCR) Allowances</t>
  </si>
  <si>
    <t xml:space="preserve"> Allowances</t>
  </si>
  <si>
    <r>
      <rPr>
        <b/>
        <sz val="9"/>
        <rFont val="Calibri"/>
        <family val="2"/>
        <scheme val="minor"/>
      </rPr>
      <t>Source:</t>
    </r>
    <r>
      <rPr>
        <sz val="9"/>
        <rFont val="Calibri"/>
        <family val="2"/>
        <scheme val="minor"/>
      </rPr>
      <t xml:space="preserve"> Ecology placed 5% of the total allowance supply (Table 8) into the APCR at the beginning of the program in January 2023. These allowances are available at APCR auctions. For APCR auctions triggered by 2025 quarterly auction prices, the trigger price for the APCR is $60.43 (WAC 173-446-370). </t>
    </r>
  </si>
  <si>
    <t>Table 10: Emissions Containment Reserve (ECR) Allowances</t>
  </si>
  <si>
    <t>Allowances</t>
  </si>
  <si>
    <r>
      <rPr>
        <b/>
        <sz val="9"/>
        <color rgb="FF000000"/>
        <rFont val="Calibri"/>
        <family val="2"/>
        <scheme val="minor"/>
      </rPr>
      <t xml:space="preserve">Source: </t>
    </r>
    <r>
      <rPr>
        <sz val="9"/>
        <color rgb="FF000000"/>
        <rFont val="Calibri"/>
        <family val="2"/>
        <scheme val="minor"/>
      </rPr>
      <t xml:space="preserve">Ecology reserved 2% of the total allowance supply (Table 8) for the first compliance period—2023 through 2026—into the emissions containment reserve (ECR) consistent with WAC 173-446-375. Ecology did not place any allowances from the second compliance period into the ECR. </t>
    </r>
  </si>
  <si>
    <r>
      <rPr>
        <b/>
        <sz val="9"/>
        <color theme="1"/>
        <rFont val="Calibri"/>
        <family val="2"/>
        <scheme val="minor"/>
      </rPr>
      <t xml:space="preserve">ECR Assumption: </t>
    </r>
    <r>
      <rPr>
        <sz val="9"/>
        <color theme="1"/>
        <rFont val="Calibri"/>
        <family val="2"/>
        <scheme val="minor"/>
      </rPr>
      <t xml:space="preserve">ECR allowances are unavailable for auction unless certain conditions are met—the expansion of existing facilities, or entry of new covered participants in the program. For purposes of this forecast, Ecology conservatively assumes the conditions </t>
    </r>
    <r>
      <rPr>
        <i/>
        <sz val="9"/>
        <color theme="1"/>
        <rFont val="Calibri"/>
        <family val="2"/>
        <scheme val="minor"/>
      </rPr>
      <t>will not be met</t>
    </r>
    <r>
      <rPr>
        <sz val="9"/>
        <color theme="1"/>
        <rFont val="Calibri"/>
        <family val="2"/>
        <scheme val="minor"/>
      </rPr>
      <t xml:space="preserve">, and therefore assumes ECR auctions will not occur. </t>
    </r>
  </si>
  <si>
    <t>Table 11: Voluntary Renewable Energy (VRE) Account Allowances </t>
  </si>
  <si>
    <r>
      <rPr>
        <b/>
        <sz val="9"/>
        <color rgb="FF000000"/>
        <rFont val="Calibri"/>
        <family val="2"/>
      </rPr>
      <t xml:space="preserve">Source: </t>
    </r>
    <r>
      <rPr>
        <sz val="9"/>
        <color rgb="FF000000"/>
        <rFont val="Calibri"/>
        <family val="2"/>
      </rPr>
      <t xml:space="preserve">Ecology reserved 0.33% of the total allowance supply (Table 8) for the first compliance period—2023 through 2026—in the Voluntary Renewable Energy account (VRE) consistent with WAC 173-446-230(3). Ecology did not place any allowances from the second compliance period into the VRE. The VRE is intended to retire allowances in proportion to voluntary renewable energy credits purchased over and above existing requirements. </t>
    </r>
  </si>
  <si>
    <r>
      <rPr>
        <b/>
        <sz val="9"/>
        <color theme="1"/>
        <rFont val="Calibri"/>
        <family val="2"/>
        <scheme val="minor"/>
      </rPr>
      <t xml:space="preserve">Rationale for excluding from auction total: </t>
    </r>
    <r>
      <rPr>
        <sz val="9"/>
        <color theme="1"/>
        <rFont val="Calibri"/>
        <family val="2"/>
        <scheme val="minor"/>
      </rPr>
      <t xml:space="preserve">Because VRE allowances will be directly retired rather than sold at auction, the VRE is deducted from the volume of allowances estimated for auction. WAC 173-446-230(3). </t>
    </r>
  </si>
  <si>
    <t>Table 12: Emissions Intensive, Trade Exposed (EITE) Allowances</t>
  </si>
  <si>
    <r>
      <rPr>
        <b/>
        <sz val="9"/>
        <rFont val="Calibri"/>
        <family val="2"/>
        <scheme val="minor"/>
      </rPr>
      <t>Source:</t>
    </r>
    <r>
      <rPr>
        <sz val="9"/>
        <rFont val="Calibri"/>
        <family val="2"/>
        <scheme val="minor"/>
      </rPr>
      <t xml:space="preserve"> Initial EITE allocation for 2023 EITE production (Allowance Allocation to Emissions-Intensive, Trade-Exposed Industries for the First Compliance Period). </t>
    </r>
  </si>
  <si>
    <r>
      <rPr>
        <b/>
        <sz val="9"/>
        <rFont val="Calibri"/>
        <family val="2"/>
        <scheme val="minor"/>
      </rPr>
      <t xml:space="preserve">Assumptions: </t>
    </r>
    <r>
      <rPr>
        <sz val="9"/>
        <rFont val="Calibri"/>
        <family val="2"/>
        <scheme val="minor"/>
      </rPr>
      <t>EITE industrial allowance allocation is intended to protect against emissions leakage, or the relocation of Washington State businesses to other locations without carbon regulations. Washington State allocates allowances to EITEs primarily through an allocation that scales with production, i.e., if production goes up then allocation goes up, and if production goes down then allocation declines as well. CY 2024 allocation reflects a revision to the estimated production in 2023. 2025 value reflects the latest allocation, as of 10/24/24, including "true-up". The 2026 value is based on the average of 2024 and 2025. Starting with the second compliance period, in 2027, EITE allocation is reduced by 3% consistent with WAC 173-446-220(2)(a).</t>
    </r>
  </si>
  <si>
    <t>Table 13: Electric Utility Allowances</t>
  </si>
  <si>
    <t xml:space="preserve">  Allowances </t>
  </si>
  <si>
    <t>Source: Allowance Allocation to Electric Utilities for the First Compliance Period (Revised). </t>
  </si>
  <si>
    <t>Table 14: Natural Gas Allowances</t>
  </si>
  <si>
    <r>
      <rPr>
        <b/>
        <sz val="9"/>
        <rFont val="Calibri"/>
        <family val="2"/>
        <scheme val="minor"/>
      </rPr>
      <t xml:space="preserve">Source: </t>
    </r>
    <r>
      <rPr>
        <sz val="9"/>
        <rFont val="Calibri"/>
        <family val="2"/>
        <scheme val="minor"/>
      </rPr>
      <t>Allowance Allocation to Natural Gas Utilities. </t>
    </r>
  </si>
  <si>
    <t xml:space="preserve">Table 14A: Natural Gas Allowances Held for Compliance </t>
  </si>
  <si>
    <t>CY</t>
  </si>
  <si>
    <t xml:space="preserve">Allowances </t>
  </si>
  <si>
    <r>
      <rPr>
        <b/>
        <sz val="9"/>
        <color rgb="FF000000"/>
        <rFont val="Calibri"/>
        <family val="2"/>
      </rPr>
      <t xml:space="preserve">Assumption: </t>
    </r>
    <r>
      <rPr>
        <sz val="9"/>
        <color rgb="FF000000"/>
        <rFont val="Calibri"/>
        <family val="2"/>
      </rPr>
      <t>Natural Gas utilities have required minimum consignment for each year, starting with 65% of allocation in 2023, 70% in 2024, 75% in 2025 and so on until 100% consignment in 2030. They may choose at any time to consign up to 100% of allowances to auction (WAC 173-446-300(2)(b)(ii)(A)), though Ecology's forecast assumes that all allowances not required to be sent to auction are retained for compliance. The total value held for compliance is assumed to be Allocation minus required consignment (Table 14 minus Table 14B).</t>
    </r>
  </si>
  <si>
    <t xml:space="preserve">Table 14B: Natural Gas Allowances Consigned (sold) at Auction </t>
  </si>
  <si>
    <r>
      <rPr>
        <b/>
        <sz val="9"/>
        <color rgb="FF000000"/>
        <rFont val="Calibri"/>
        <family val="2"/>
      </rPr>
      <t xml:space="preserve">Assumption: </t>
    </r>
    <r>
      <rPr>
        <sz val="9"/>
        <color rgb="FF000000"/>
        <rFont val="Calibri"/>
        <family val="2"/>
      </rPr>
      <t>Natural Gas utilities have required minimum consignment for each year, starting with 65% of allocation (see Table 14) in 2023, 70% in 2024, 75% in 2025, and so on. They may choose at any time to consign up to 100% of allowances to auction (WAC 173-446-300(2)(b)(ii)(A)).</t>
    </r>
  </si>
  <si>
    <r>
      <t>Table 15: Offset Usage</t>
    </r>
    <r>
      <rPr>
        <sz val="11"/>
        <color theme="1"/>
        <rFont val="Calibri"/>
        <family val="2"/>
        <scheme val="minor"/>
      </rPr>
      <t> </t>
    </r>
  </si>
  <si>
    <t xml:space="preserve">CY 
</t>
  </si>
  <si>
    <t>Offset Usage</t>
  </si>
  <si>
    <r>
      <rPr>
        <b/>
        <sz val="9"/>
        <color theme="1"/>
        <rFont val="Calibri"/>
        <family val="2"/>
        <scheme val="minor"/>
      </rPr>
      <t xml:space="preserve">Assumption: </t>
    </r>
    <r>
      <rPr>
        <sz val="9"/>
        <color theme="1"/>
        <rFont val="Calibri"/>
        <family val="2"/>
        <scheme val="minor"/>
      </rPr>
      <t>Offsets are important to calculate auction allowance supply because offsets are "under the cap", i.e., offsets used to meet compliance obligations. </t>
    </r>
  </si>
  <si>
    <t>The offset totals are 3% of the emissions budget that represents sectors assumed to want to purchase offsets. This is based on the total program allowance budget (Table 8), reduced by the following allowance accounts and allocation totals that represent sectors and emissions that have a compliance obligation primarily met through no cost allowance allocation: </t>
  </si>
  <si>
    <r>
      <rPr>
        <sz val="9"/>
        <color theme="1"/>
        <rFont val="Calibri"/>
        <family val="2"/>
      </rPr>
      <t xml:space="preserve"> • </t>
    </r>
    <r>
      <rPr>
        <sz val="9"/>
        <color theme="1"/>
        <rFont val="Calibri"/>
        <family val="2"/>
        <scheme val="minor"/>
      </rPr>
      <t>The Allowance Price Containment Reserve (Table 9), which represents 5% of the annual allowance budget for each calendar year through 2030.</t>
    </r>
  </si>
  <si>
    <r>
      <rPr>
        <sz val="9"/>
        <color theme="1"/>
        <rFont val="Calibri"/>
        <family val="2"/>
      </rPr>
      <t xml:space="preserve"> • </t>
    </r>
    <r>
      <rPr>
        <sz val="9"/>
        <color theme="1"/>
        <rFont val="Calibri"/>
        <family val="2"/>
        <scheme val="minor"/>
      </rPr>
      <t>The Emissions Containment Reserve (Table 10) is conservatively assumed to be withheld because entities do not trigger ECR allowance allocation or ECR auctions. Under this assumption, ECR allowances do not represent emissions obligations. </t>
    </r>
  </si>
  <si>
    <r>
      <rPr>
        <sz val="9"/>
        <color theme="1"/>
        <rFont val="Calibri"/>
        <family val="2"/>
      </rPr>
      <t xml:space="preserve"> • </t>
    </r>
    <r>
      <rPr>
        <sz val="9"/>
        <color theme="1"/>
        <rFont val="Calibri"/>
        <family val="2"/>
        <scheme val="minor"/>
      </rPr>
      <t>The VRE account (Table 11) is assumed to be used directly for compliance and does not represent emissions obligations within the program. </t>
    </r>
  </si>
  <si>
    <r>
      <rPr>
        <sz val="9"/>
        <color theme="1"/>
        <rFont val="Calibri"/>
        <family val="2"/>
      </rPr>
      <t xml:space="preserve"> • </t>
    </r>
    <r>
      <rPr>
        <sz val="9"/>
        <color theme="1"/>
        <rFont val="Calibri"/>
        <family val="2"/>
        <scheme val="minor"/>
      </rPr>
      <t>The industrial EITE sector (Table 12) is assumed to receive allowance allocation equal to emissions obligation for the first four years of the program, and does not use offsets to meet its compliance obligations. </t>
    </r>
  </si>
  <si>
    <t xml:space="preserve">  • The electric sector (Table 13) is assumed to receive allowance allocation equal to its compliance obligation and does not use offsets to meet its compliance obligations. </t>
  </si>
  <si>
    <t>Table 15A: Total Current Vintage After Non-Consigned Free Allowances, Reserves and Direct Allocation</t>
  </si>
  <si>
    <r>
      <rPr>
        <b/>
        <sz val="9"/>
        <rFont val="Calibri"/>
        <family val="2"/>
      </rPr>
      <t>Note</t>
    </r>
    <r>
      <rPr>
        <sz val="9"/>
        <rFont val="Calibri"/>
        <family val="2"/>
      </rPr>
      <t>: Table 15A represents the supply of allowances available for auction starting with total annual budgets defined in rule and then subtracting allowances deposited into reserve accounts, allowances freely allocated to EITEs and Electricity Utilities, and held for compliance by natural gas utilities. The values in Table 15 are subtracted from Table 15A to determine total allowances available for current vintage auctions each year (Table 15B). The drop in 2026 and later years is partially the result of the sale of future vintage allowances in earlier years.</t>
    </r>
  </si>
  <si>
    <t>Table 15B: Allowances to Current Vintage Auction, Net of Offsets Under the Cap</t>
  </si>
  <si>
    <r>
      <rPr>
        <b/>
        <sz val="9"/>
        <color rgb="FF444444"/>
        <rFont val="Calibri"/>
        <family val="2"/>
      </rPr>
      <t>Note</t>
    </r>
    <r>
      <rPr>
        <sz val="9"/>
        <color rgb="FF444444"/>
        <rFont val="Calibri"/>
        <family val="2"/>
      </rPr>
      <t>: Table 15B is the difference between Table 15A and Table 15, representing the total allowances available for current vintage auction each year, after accounting for the actual or anticipated use of offsets, which are "under the cap," starting in 2025.</t>
    </r>
  </si>
  <si>
    <r>
      <rPr>
        <b/>
        <sz val="11"/>
        <color rgb="FF000000"/>
        <rFont val="Calibri"/>
        <family val="2"/>
      </rPr>
      <t>Table 16: State-Owned Future Vintage Auctioned Allowances</t>
    </r>
    <r>
      <rPr>
        <sz val="11"/>
        <color rgb="FF000000"/>
        <rFont val="Calibri"/>
        <family val="2"/>
      </rPr>
      <t> </t>
    </r>
  </si>
  <si>
    <r>
      <rPr>
        <b/>
        <sz val="10"/>
        <color theme="1"/>
        <rFont val="Calibri"/>
        <family val="2"/>
        <scheme val="minor"/>
      </rPr>
      <t xml:space="preserve">Source: </t>
    </r>
    <r>
      <rPr>
        <sz val="10"/>
        <color theme="1"/>
        <rFont val="Calibri"/>
        <family val="2"/>
        <scheme val="minor"/>
      </rPr>
      <t xml:space="preserve">Ecology auctions 10% of the total allowance budget (Table 8) each year per WAC 173-446-365. </t>
    </r>
  </si>
  <si>
    <r>
      <rPr>
        <b/>
        <sz val="11"/>
        <color rgb="FF000000"/>
        <rFont val="Calibri"/>
        <family val="2"/>
      </rPr>
      <t>Table 17: State-Owned Current Vintage Auctioned Allowances</t>
    </r>
    <r>
      <rPr>
        <sz val="11"/>
        <color rgb="FF000000"/>
        <rFont val="Calibri"/>
        <family val="2"/>
      </rPr>
      <t> </t>
    </r>
  </si>
  <si>
    <r>
      <rPr>
        <b/>
        <sz val="11"/>
        <color theme="1"/>
        <rFont val="Calibri"/>
        <family val="2"/>
        <scheme val="minor"/>
      </rPr>
      <t>Note:</t>
    </r>
    <r>
      <rPr>
        <sz val="11"/>
        <color theme="1"/>
        <rFont val="Calibri"/>
        <family val="2"/>
        <scheme val="minor"/>
      </rPr>
      <t xml:space="preserve"> Future auction proceed estimates are rounded to the nearest thousand. </t>
    </r>
  </si>
  <si>
    <t xml:space="preserve">The following tables are an event-by-event breakdown of each fiscal year for each of the three scenarios. The dates listed for each year are subject to change, and only made official each December when Ecology releases a list of anticipated auction dates for the following calendar year events. While current auctions will be held quarterly, specific dates are included to provide some indication of when in the fiscal year those events occur and when funds would be received by the state (roughly 4 weeks post-auction). Ecology offers the entire supply of current vintage allowances across four quarterly auctions in a calendar year. </t>
  </si>
  <si>
    <t>The first column contains abbreviations for individual auction event types. These are:</t>
  </si>
  <si>
    <t xml:space="preserve">· </t>
  </si>
  <si>
    <r>
      <t>APCR X</t>
    </r>
    <r>
      <rPr>
        <i/>
        <sz val="11"/>
        <color theme="1"/>
        <rFont val="Calibri"/>
        <family val="2"/>
        <scheme val="minor"/>
      </rPr>
      <t>YY</t>
    </r>
    <r>
      <rPr>
        <sz val="11"/>
        <color theme="1"/>
        <rFont val="Calibri"/>
        <family val="2"/>
        <scheme val="minor"/>
      </rPr>
      <t>: APCR Auctions offered prior to the annual (YY) compliance deadline</t>
    </r>
  </si>
  <si>
    <t>ECR: Emissions containment reserve auctions. Ecology assumes that no ECR auctions will be held for purposes of this forecast. If this changes in future forecasts, ECR allowance totals would be included in the ‘Current Vintage’ column.</t>
  </si>
  <si>
    <t>Baseline Forecast: Average of Low and High Bounding Scenarios  </t>
  </si>
  <si>
    <r>
      <t>Event Name</t>
    </r>
    <r>
      <rPr>
        <sz val="10"/>
        <color rgb="FFFFFFFF"/>
        <rFont val="Calibri"/>
        <family val="2"/>
      </rPr>
      <t> </t>
    </r>
  </si>
  <si>
    <t>Current Vintage/  Tier 1 Allowances</t>
  </si>
  <si>
    <t>Future Vintage Allowances</t>
  </si>
  <si>
    <r>
      <rPr>
        <b/>
        <sz val="10"/>
        <color rgb="FFFFFFFF"/>
        <rFont val="Calibri"/>
        <family val="2"/>
      </rPr>
      <t>APCR Allowances</t>
    </r>
    <r>
      <rPr>
        <sz val="10"/>
        <color rgb="FFFFFFFF"/>
        <rFont val="Calibri"/>
        <family val="2"/>
      </rPr>
      <t> </t>
    </r>
  </si>
  <si>
    <r>
      <rPr>
        <b/>
        <sz val="10"/>
        <color rgb="FFFFFFFF"/>
        <rFont val="Calibri"/>
        <family val="2"/>
      </rPr>
      <t>Current / APCR Tier 1 Price</t>
    </r>
    <r>
      <rPr>
        <sz val="10"/>
        <color rgb="FFFFFFFF"/>
        <rFont val="Calibri"/>
        <family val="2"/>
      </rPr>
      <t> </t>
    </r>
  </si>
  <si>
    <r>
      <rPr>
        <b/>
        <sz val="10"/>
        <color rgb="FFFFFFFF"/>
        <rFont val="Calibri"/>
        <family val="2"/>
      </rPr>
      <t>Future / APCR Tier 2 Price</t>
    </r>
    <r>
      <rPr>
        <sz val="10"/>
        <color rgb="FFFFFFFF"/>
        <rFont val="Calibri"/>
        <family val="2"/>
      </rPr>
      <t> </t>
    </r>
  </si>
  <si>
    <r>
      <rPr>
        <b/>
        <sz val="10"/>
        <color rgb="FFFFFFFF"/>
        <rFont val="Calibri"/>
        <family val="2"/>
      </rPr>
      <t>Auction Proceeds</t>
    </r>
    <r>
      <rPr>
        <sz val="10"/>
        <color rgb="FFFFFFFF"/>
        <rFont val="Calibri"/>
        <family val="2"/>
      </rPr>
      <t> </t>
    </r>
  </si>
  <si>
    <t>A #3</t>
  </si>
  <si>
    <t>A #4</t>
  </si>
  <si>
    <t xml:space="preserve">APCR </t>
  </si>
  <si>
    <t>A #5</t>
  </si>
  <si>
    <t>A #6</t>
  </si>
  <si>
    <t>Total</t>
  </si>
  <si>
    <t> </t>
  </si>
  <si>
    <t>Fiscal Year 2025</t>
  </si>
  <si>
    <t>A #7</t>
  </si>
  <si>
    <t>APCR #3</t>
  </si>
  <si>
    <t>ECR</t>
  </si>
  <si>
    <t>September</t>
  </si>
  <si>
    <t>A #8</t>
  </si>
  <si>
    <t>▲Actual</t>
  </si>
  <si>
    <t>▼Forecast</t>
  </si>
  <si>
    <t>A #9</t>
  </si>
  <si>
    <t>A #10</t>
  </si>
  <si>
    <t>Fiscal Year 2026</t>
  </si>
  <si>
    <t>A #11</t>
  </si>
  <si>
    <t>APCR X25</t>
  </si>
  <si>
    <t>A #12</t>
  </si>
  <si>
    <t>APCR</t>
  </si>
  <si>
    <t>A #13</t>
  </si>
  <si>
    <t>A #14</t>
  </si>
  <si>
    <t>Fiscal Year 2027</t>
  </si>
  <si>
    <t>A #15</t>
  </si>
  <si>
    <t>APCR X26</t>
  </si>
  <si>
    <t>A #16</t>
  </si>
  <si>
    <t>A #17</t>
  </si>
  <si>
    <t>A #18</t>
  </si>
  <si>
    <t>Fiscal Year 2028</t>
  </si>
  <si>
    <t>A #19</t>
  </si>
  <si>
    <t>APCR X27</t>
  </si>
  <si>
    <t>Price Ceiling Sale</t>
  </si>
  <si>
    <t>A #20</t>
  </si>
  <si>
    <t>A #21</t>
  </si>
  <si>
    <t>A #22</t>
  </si>
  <si>
    <t>Fiscal Year 2029</t>
  </si>
  <si>
    <t>A #23</t>
  </si>
  <si>
    <t>APCR X28</t>
  </si>
  <si>
    <t>A #24</t>
  </si>
  <si>
    <t>A #25</t>
  </si>
  <si>
    <t>A #26</t>
  </si>
  <si>
    <t>Low Bounding Scenario: California / Québec Price </t>
  </si>
  <si>
    <t>Fiscal Year 2024</t>
  </si>
  <si>
    <t>High Bounding Scenario: Average and Estimates of Washington’s Prices </t>
  </si>
  <si>
    <t>APCR 2</t>
  </si>
  <si>
    <t>Cap-and-Invest Program Allowance Auction Revenue - Historic Actuals</t>
  </si>
  <si>
    <t>Actual Revenue Collections by Auction in FY 2024</t>
  </si>
  <si>
    <t>Current Vintage Allowances</t>
  </si>
  <si>
    <t>Actual Revenue Collections by Auction in FY 2023</t>
  </si>
  <si>
    <t>Fiscal Year 2023</t>
  </si>
  <si>
    <t>A #1</t>
  </si>
  <si>
    <t>A #2</t>
  </si>
  <si>
    <t>Fiscal Year 2030</t>
  </si>
  <si>
    <t>A #27</t>
  </si>
  <si>
    <t>APCR X29</t>
  </si>
  <si>
    <t>A #28</t>
  </si>
  <si>
    <t>A #29</t>
  </si>
  <si>
    <t>A #30</t>
  </si>
  <si>
    <t>Actual Revenue Collections by Auction in FY 2025</t>
  </si>
  <si>
    <t>APCR 3</t>
  </si>
  <si>
    <t>APCR 1</t>
  </si>
  <si>
    <t>FY30</t>
  </si>
  <si>
    <t>Publication No. 25-14-035</t>
  </si>
  <si>
    <r>
      <t>FY25</t>
    </r>
    <r>
      <rPr>
        <b/>
        <vertAlign val="superscript"/>
        <sz val="11"/>
        <color rgb="FF000000"/>
        <rFont val="Calibri"/>
        <family val="2"/>
      </rPr>
      <t>1</t>
    </r>
  </si>
  <si>
    <t>Change  -  December 2024 to June 2025</t>
  </si>
  <si>
    <t>February 2025 Joint Auction #42</t>
  </si>
  <si>
    <t>May 2025 Joint Auction #43</t>
  </si>
  <si>
    <t>June 2025 Auction #10 actual</t>
  </si>
  <si>
    <r>
      <t xml:space="preserve">September 2025 Auction #11 </t>
    </r>
    <r>
      <rPr>
        <i/>
        <sz val="11"/>
        <color rgb="FF000000"/>
        <rFont val="Calibri"/>
        <family val="2"/>
        <scheme val="minor"/>
      </rPr>
      <t>(estimate)</t>
    </r>
  </si>
  <si>
    <t>Grand Total (FY25 to FY30)</t>
  </si>
  <si>
    <t>Sum of Actual Revenue Collections in FY 2023-2025</t>
  </si>
  <si>
    <t>Purpose: Provide details on actual revenue collections over prior allowance auctions in FY 2023-25.</t>
  </si>
  <si>
    <t xml:space="preserve">Purpose: Provide excel backup for the by auction summary tables included in Ecology's June 2025 Cap-and-Invest Program Allowance Auction Revenue Forecast Summary. 
</t>
  </si>
  <si>
    <t>A #_: This is an abbreviation for a regularly scheduled quarterly auction. If the auction has allowances in the future vintage column, then it is an auction with both current and future vintage supply.</t>
  </si>
  <si>
    <t xml:space="preserve">Purpose: Provide Excel backup for allowance supply-related tables included in Ecology's June 2025 Cap-and-Invest Program Allowance Auction Revenue Forecast Summary. </t>
  </si>
  <si>
    <t xml:space="preserve">Purpose: Provide excel backup for allowance price-related tables included in Ecology's June  2025 Cap-and-Invest Program Allowance Auction Revenue Forecast Summary. </t>
  </si>
  <si>
    <t>Estimates for 2025-26 auctions based on secondary market futures contracts as of 6/18/25.</t>
  </si>
  <si>
    <t>Purpose: Provide the forecasted cap-and-invest program allowance auction revenue estimates by fiscal year and account, as well as a comparison to the previous revenue estimates. These tables are included in Ecology's June 2025 Cap-and-Invest Program Allowance Auction Revenue Forecast Summary.</t>
  </si>
  <si>
    <r>
      <rPr>
        <b/>
        <sz val="9"/>
        <rFont val="Calibri"/>
        <family val="2"/>
        <scheme val="minor"/>
      </rPr>
      <t>APCR Assumption:</t>
    </r>
    <r>
      <rPr>
        <sz val="9"/>
        <rFont val="Calibri"/>
        <family val="2"/>
        <scheme val="minor"/>
      </rPr>
      <t xml:space="preserve"> Under all scenarios in 2025 and forward, the</t>
    </r>
    <r>
      <rPr>
        <i/>
        <sz val="9"/>
        <rFont val="Calibri"/>
        <family val="2"/>
        <scheme val="minor"/>
      </rPr>
      <t xml:space="preserve"> APCR trigger price is not met by forecasted quarterly auction current vintage allowance settlement prices</t>
    </r>
    <r>
      <rPr>
        <sz val="9"/>
        <rFont val="Calibri"/>
        <family val="2"/>
        <scheme val="minor"/>
      </rPr>
      <t>. Two APCR auctions were triggered in 2023, and 6,054,000 allowances sold, and one APCR auction was held prior to the 2024 compliance deadline, selling 1,022,000 APCR allowances .* </t>
    </r>
  </si>
  <si>
    <t>*Refer to the APCR auction supply guidance through 2026 (govdelivery.com)</t>
  </si>
  <si>
    <t>N/A</t>
  </si>
  <si>
    <r>
      <t>Table 5: Official (Baseline) Revenue Forecast: Average of CA/QC and WA Price Average</t>
    </r>
    <r>
      <rPr>
        <sz val="11"/>
        <rFont val="Calibri"/>
        <family val="2"/>
      </rPr>
      <t> </t>
    </r>
  </si>
  <si>
    <r>
      <t xml:space="preserve">December 2025 Auction #12 </t>
    </r>
    <r>
      <rPr>
        <i/>
        <sz val="11"/>
        <color rgb="FF000000"/>
        <rFont val="Calibri"/>
        <family val="2"/>
        <scheme val="minor"/>
      </rPr>
      <t>(estimate)</t>
    </r>
  </si>
  <si>
    <r>
      <t>March 2026 Auction #13 (</t>
    </r>
    <r>
      <rPr>
        <i/>
        <sz val="11"/>
        <color theme="1"/>
        <rFont val="Calibri"/>
        <family val="2"/>
        <scheme val="minor"/>
      </rPr>
      <t>estimate)</t>
    </r>
  </si>
  <si>
    <r>
      <rPr>
        <b/>
        <sz val="9"/>
        <color theme="1"/>
        <rFont val="Calibri"/>
        <family val="2"/>
        <scheme val="minor"/>
      </rPr>
      <t xml:space="preserve">Assumption: </t>
    </r>
    <r>
      <rPr>
        <sz val="9"/>
        <color theme="1"/>
        <rFont val="Calibri"/>
        <family val="2"/>
        <scheme val="minor"/>
      </rPr>
      <t>These allowance totals are equal to the total allowance budget (Table 8) reduced by all the other allowance totals in Tables 9 through 15B. Starting with calendar year 2026, the allowance totals are further reduced by future vintage auctions of allowances (Table 16) from the 2026 allowance budget that occurred in calendar year 2023. See the assumptions in Table 16.</t>
    </r>
  </si>
  <si>
    <t>Most Recent Forecast – released in June 2025</t>
  </si>
  <si>
    <t>Previous Forecast – released in December 2024</t>
  </si>
  <si>
    <t>Baseline (Avg CA/QC + WA)</t>
  </si>
  <si>
    <t>Low (CA/QC Avg)</t>
  </si>
  <si>
    <t>High (WA Price Avg)</t>
  </si>
  <si>
    <t>2025</t>
  </si>
  <si>
    <t>2026</t>
  </si>
  <si>
    <t>2027</t>
  </si>
  <si>
    <t>2028</t>
  </si>
  <si>
    <t>2029</t>
  </si>
  <si>
    <t>2030</t>
  </si>
  <si>
    <t>Grand Total (FY25–FY30)</t>
  </si>
  <si>
    <t>June 2025 Baseline Forecast and Bounding Scenarios (Combines Tables 5, 6, 7)</t>
  </si>
  <si>
    <r>
      <rPr>
        <b/>
        <sz val="9"/>
        <color theme="1"/>
        <rFont val="Calibri"/>
        <family val="2"/>
        <scheme val="minor"/>
      </rPr>
      <t>Note</t>
    </r>
    <r>
      <rPr>
        <sz val="9"/>
        <color theme="1"/>
        <rFont val="Calibri"/>
        <family val="2"/>
        <scheme val="minor"/>
      </rPr>
      <t>: Current vintage allowances to be sold in calendar year (CY) 2026 through CY 2030 decreased in each year compared to the previous forecast, for an overall net decrease of 9,215,413 state-owned allowances, compared to the December 2024 forecast.</t>
    </r>
  </si>
  <si>
    <t>Fiscal Year 2025 Detailed View (Baseline Forecast)</t>
  </si>
  <si>
    <t xml:space="preserve">Fiscal Year 2026 Detailed View (Baseline Forecast) </t>
  </si>
  <si>
    <r>
      <t>Fiscal Year 2027 Detailed View (Baseline Forecast)</t>
    </r>
    <r>
      <rPr>
        <sz val="11"/>
        <color rgb="FF000000"/>
        <rFont val="Calibri"/>
        <family val="2"/>
      </rPr>
      <t> </t>
    </r>
  </si>
  <si>
    <r>
      <t>Fiscal Year 2028 Detailed View (Baseline Forecast)</t>
    </r>
    <r>
      <rPr>
        <sz val="11"/>
        <color rgb="FF000000"/>
        <rFont val="Calibri"/>
        <family val="2"/>
      </rPr>
      <t> </t>
    </r>
  </si>
  <si>
    <r>
      <t>Fiscal Year 2029 Detailed View (Baseline Forecast)</t>
    </r>
    <r>
      <rPr>
        <sz val="11"/>
        <color rgb="FF000000"/>
        <rFont val="Calibri"/>
        <family val="2"/>
      </rPr>
      <t> </t>
    </r>
  </si>
  <si>
    <r>
      <t>Fiscal Year 2030 Detailed View (Baseline Forecast)</t>
    </r>
    <r>
      <rPr>
        <sz val="11"/>
        <color rgb="FF000000"/>
        <rFont val="Calibri"/>
        <family val="2"/>
      </rPr>
      <t> </t>
    </r>
  </si>
  <si>
    <t xml:space="preserve">Fiscal Year 2025 Detailed View (Low Scenario) </t>
  </si>
  <si>
    <t xml:space="preserve">Fiscal Year 2026 Detailed View (Low Scenario) </t>
  </si>
  <si>
    <t xml:space="preserve">Fiscal Year 2027 Detailed View (Low Scenario) </t>
  </si>
  <si>
    <t xml:space="preserve">Fiscal Year 2028 Detailed View (Low Scenario) </t>
  </si>
  <si>
    <r>
      <t>Fiscal Year 2029 Detailed View (Low Scenario)</t>
    </r>
    <r>
      <rPr>
        <sz val="11"/>
        <color rgb="FF000000"/>
        <rFont val="Calibri"/>
        <family val="2"/>
      </rPr>
      <t> </t>
    </r>
  </si>
  <si>
    <t>Fiscal Year 2030 Detailed View (Low Scenario)</t>
  </si>
  <si>
    <r>
      <t>Fiscal Year 2025 Detailed View (High Scenario)</t>
    </r>
    <r>
      <rPr>
        <sz val="11"/>
        <color rgb="FF000000"/>
        <rFont val="Calibri"/>
        <family val="2"/>
      </rPr>
      <t> </t>
    </r>
  </si>
  <si>
    <r>
      <t>Fiscal Year 2026 Detailed View (High Scenario)</t>
    </r>
    <r>
      <rPr>
        <sz val="11"/>
        <color rgb="FF000000"/>
        <rFont val="Calibri"/>
        <family val="2"/>
      </rPr>
      <t> </t>
    </r>
  </si>
  <si>
    <r>
      <t>Fiscal Year 2027 Detailed View (High Scenario)</t>
    </r>
    <r>
      <rPr>
        <sz val="11"/>
        <color rgb="FF000000"/>
        <rFont val="Calibri"/>
        <family val="2"/>
      </rPr>
      <t> </t>
    </r>
  </si>
  <si>
    <t xml:space="preserve">Fiscal Year 2028 Detailed View (High Scenario) </t>
  </si>
  <si>
    <r>
      <t>Fiscal Year 2029 Detailed View (High Scenario)</t>
    </r>
    <r>
      <rPr>
        <sz val="11"/>
        <color rgb="FF000000"/>
        <rFont val="Calibri"/>
        <family val="2"/>
      </rPr>
      <t> </t>
    </r>
  </si>
  <si>
    <t>Fiscal Year 2030 Detailed View (High Scenario)</t>
  </si>
  <si>
    <t>Cap-and-Invest Program Allowance Auction June 2025 Revenue Forecast - Appendix B - By Auction Detail</t>
  </si>
  <si>
    <t xml:space="preserve">Cap-and-Invest Program Allowance Auction June 2025 Revenue Forecast - Appendix A - Supply Tables </t>
  </si>
  <si>
    <t>Cap-and-Invest Program Allowance Auction June 2025 Revenue Forecast - Allowance Price Tables</t>
  </si>
  <si>
    <t>Cap-and-Invest Program Allowance Auction June 2025 Baseline Revenue Forecast - Summary FY25-FY30</t>
  </si>
  <si>
    <r>
      <t xml:space="preserve">26E - AQHDIA </t>
    </r>
    <r>
      <rPr>
        <vertAlign val="superscript"/>
        <sz val="11"/>
        <color rgb="FF000000"/>
        <rFont val="Calibri"/>
        <family val="2"/>
      </rPr>
      <t>2</t>
    </r>
  </si>
  <si>
    <t xml:space="preserve">26A - CERA </t>
  </si>
  <si>
    <r>
      <t xml:space="preserve">26B - ClA </t>
    </r>
    <r>
      <rPr>
        <vertAlign val="superscript"/>
        <sz val="11"/>
        <color rgb="FF000000"/>
        <rFont val="Calibri"/>
        <family val="2"/>
      </rPr>
      <t>3</t>
    </r>
  </si>
  <si>
    <r>
      <t>2</t>
    </r>
    <r>
      <rPr>
        <sz val="9"/>
        <color theme="1"/>
        <rFont val="Calibri"/>
        <family val="2"/>
        <scheme val="minor"/>
      </rPr>
      <t xml:space="preserve"> FY26-FY30 amounts based on legislative intent in RCW 70A.65.280(3) that no less than $20 million per biennia be dedicated to AQHDIA for the purposes of the account</t>
    </r>
  </si>
  <si>
    <r>
      <rPr>
        <vertAlign val="superscript"/>
        <sz val="9"/>
        <color theme="1"/>
        <rFont val="Calibri"/>
        <family val="2"/>
        <scheme val="minor"/>
      </rPr>
      <t xml:space="preserve">3 </t>
    </r>
    <r>
      <rPr>
        <sz val="9"/>
        <color theme="1"/>
        <rFont val="Calibri"/>
        <family val="2"/>
        <scheme val="minor"/>
      </rPr>
      <t>Annually, beginning July 1, 2023, the State Treasurer will transfer revenues available in the Climate Investment Account (CIA) that are not already appropriated in the account to administer the program. Per RCW 70A.65.250, 75% will be transferred to the Climate Commitment Account (Fund 26C) and 25% will be transferred to the Natural Climate Solutions Account (Fund 26D). State Treasurer transfers are not reflected in the revenue estimates above (revenue is shown in CIA).</t>
    </r>
  </si>
  <si>
    <t>Actual auction revenue by auction with cumulative state revenue, call-outs for total FY revenue in FY23, FY 24, and FY25</t>
  </si>
  <si>
    <r>
      <rPr>
        <b/>
        <sz val="9"/>
        <rFont val="Calibri"/>
        <family val="2"/>
        <scheme val="minor"/>
      </rPr>
      <t xml:space="preserve">Note: </t>
    </r>
    <r>
      <rPr>
        <sz val="9"/>
        <rFont val="Calibri"/>
        <family val="2"/>
        <scheme val="minor"/>
      </rPr>
      <t xml:space="preserve">This forecast assumes an additional 10,874,898 allowances are allocated to electric utilities in 2027 through 2030 compared to December 2024 forecast, which results in a net decrease in the number of state-owned allowances available for auction (Table 17).  This forecast incorporates the annually updated BPA ACS emissions factor, updated energy assumptions about rate of decarbonization, and utility-specific calculations.  </t>
    </r>
  </si>
  <si>
    <r>
      <rPr>
        <b/>
        <sz val="9"/>
        <rFont val="Calibri"/>
        <family val="2"/>
        <scheme val="minor"/>
      </rPr>
      <t>Source</t>
    </r>
    <r>
      <rPr>
        <sz val="9"/>
        <rFont val="Calibri"/>
        <family val="2"/>
        <scheme val="minor"/>
      </rPr>
      <t xml:space="preserve">: </t>
    </r>
    <r>
      <rPr>
        <sz val="9"/>
        <color theme="1"/>
        <rFont val="Calibri"/>
        <family val="2"/>
        <scheme val="minor"/>
      </rPr>
      <t xml:space="preserve">Total program allowance budgets </t>
    </r>
    <r>
      <rPr>
        <sz val="9"/>
        <rFont val="Calibri"/>
        <family val="2"/>
        <scheme val="minor"/>
      </rPr>
      <t>(WAC 173-446-210</t>
    </r>
    <r>
      <rPr>
        <sz val="9"/>
        <color theme="1"/>
        <rFont val="Calibri"/>
        <family val="2"/>
        <scheme val="minor"/>
      </rPr>
      <t>) and program applicability</t>
    </r>
    <r>
      <rPr>
        <sz val="9"/>
        <rFont val="Calibri"/>
        <family val="2"/>
        <scheme val="minor"/>
      </rPr>
      <t xml:space="preserve"> (WAC 173-446-030</t>
    </r>
    <r>
      <rPr>
        <sz val="9"/>
        <color theme="1"/>
        <rFont val="Calibri"/>
        <family val="2"/>
        <scheme val="minor"/>
      </rPr>
      <t>). </t>
    </r>
  </si>
  <si>
    <t>2024*</t>
  </si>
  <si>
    <r>
      <rPr>
        <b/>
        <sz val="9"/>
        <color theme="1"/>
        <rFont val="Calibri"/>
        <family val="2"/>
        <scheme val="minor"/>
      </rPr>
      <t>Assumptions</t>
    </r>
    <r>
      <rPr>
        <sz val="9"/>
        <color theme="1"/>
        <rFont val="Calibri"/>
        <family val="2"/>
        <scheme val="minor"/>
      </rPr>
      <t>: Future vintage allowances are taken from the allowance budget three years in the future. E.g., 4,899,760 allowances are 10% of the 2026 budget (48,997,598 allowances) not 10% of the 2023 budget (63,288,565 allowances).          *For CY 2024, 1,317,000 of the possible 2,200,000 vintage 2027 allowances offered were sold in Auction 6. The unsold 2027 vintage allowances are added to the CY2027 current vintage allowance supply (Table 17) to be offered next in 2027. The rest of the tables assume all future vintage allowances offered will be sold.</t>
    </r>
  </si>
  <si>
    <t>FY25</t>
  </si>
  <si>
    <t>Because offset usage is "under the cap", the allowance budget is reduced by the number of offsets used in each compliance event for two years’ prior emissions obligation. E.g., entities used 26,280 offsets for compliance at first annual compliance event on 11/1/24. That number is subtracted from the 2025 allowance budget, reducing the state-owned allowances eligible to be auctioned by 26,280. At the 2025 compliance event, actual offset usage will be known, and the 2026 budget will be reduced by that amount.</t>
  </si>
  <si>
    <r>
      <rPr>
        <vertAlign val="superscript"/>
        <sz val="9"/>
        <color rgb="FF000000"/>
        <rFont val="Calibri"/>
        <family val="2"/>
      </rPr>
      <t>1</t>
    </r>
    <r>
      <rPr>
        <sz val="9"/>
        <color rgb="FF000000"/>
        <rFont val="Calibri"/>
        <family val="2"/>
      </rPr>
      <t xml:space="preserve"> Reflects </t>
    </r>
    <r>
      <rPr>
        <i/>
        <sz val="9"/>
        <color rgb="FF000000"/>
        <rFont val="Calibri"/>
        <family val="2"/>
      </rPr>
      <t>actual</t>
    </r>
    <r>
      <rPr>
        <sz val="9"/>
        <color rgb="FF000000"/>
        <rFont val="Calibri"/>
        <family val="2"/>
      </rPr>
      <t xml:space="preserve"> revenue collections for completed auctions during fiscal year 2025.</t>
    </r>
  </si>
  <si>
    <t>APCR #_: These are Allowance Price Containment Reserve (APCR) Auction, either triggered by preceding quarterly auctions or held prior to the annual compliance deadline.</t>
  </si>
  <si>
    <r>
      <rPr>
        <b/>
        <sz val="9"/>
        <rFont val="Calibri"/>
        <family val="2"/>
        <scheme val="minor"/>
      </rPr>
      <t xml:space="preserve">Assumption: </t>
    </r>
    <r>
      <rPr>
        <sz val="9"/>
        <rFont val="Calibri"/>
        <family val="2"/>
        <scheme val="minor"/>
      </rPr>
      <t>Electric Utilities are allocated allowances consistent with WAC 173-446-230. The allowance allocation in Table 13 equals allowance allocation transferred for 2023, 2024, and 2025 allocation, and forecasted allowance allocation for 2026. Because there are no forecasts for 2027 allocation at this time, and no set reduction schedule for electric utilities, allocation projections may be substantially adjusted in future years.</t>
    </r>
  </si>
  <si>
    <r>
      <rPr>
        <b/>
        <sz val="9"/>
        <color theme="1"/>
        <rFont val="Calibri"/>
        <family val="2"/>
        <scheme val="minor"/>
      </rPr>
      <t xml:space="preserve">Assumption: </t>
    </r>
    <r>
      <rPr>
        <sz val="9"/>
        <color theme="1"/>
        <rFont val="Calibri"/>
        <family val="2"/>
        <scheme val="minor"/>
      </rPr>
      <t>The Climate Commitment Act requires that the Department of Ecology provide allowances at no cost to eligible natural gas utilities. Natural gas allowance allocation is calculated using a 2015-2019 ‘baseline’ of natural gas emissions. The utilities were allocated 93% of the baseline in 2023 (7% less than the full baseline), with allocation declining by an additional 7% each year thereafter. WAC 173-446-240.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</si>
</sst>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quot;$&quot;#,##0"/>
    <numFmt numFmtId="168" formatCode="_(* #,##0_);_(* \(#,##0\);_(* &quot;-&quot;??_);_(@_)"/>
    <numFmt numFmtId="169" formatCode="_(* #,##0.0_);_(* \(#,##0.0\);_(* &quot;-&quot;??_);_(@_)"/>
    <numFmt numFmtId="170" formatCode="&quot;$&quot;#,##0.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vertAlign val="superscript"/>
      <sz val="11"/>
      <color rgb="FF000000"/>
      <name val="Calibri"/>
      <family val="2"/>
    </font>
    <font>
      <vertAlign val="superscript"/>
      <sz val="9"/>
      <color theme="1"/>
      <name val="Calibri"/>
      <family val="2"/>
      <scheme val="minor"/>
    </font>
    <font>
      <sz val="9"/>
      <color theme="1"/>
      <name val="Calibri"/>
      <family val="2"/>
      <scheme val="minor"/>
    </font>
    <font>
      <b/>
      <sz val="16"/>
      <color theme="1"/>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sz val="10"/>
      <color rgb="FF000000"/>
      <name val="Calibri"/>
      <family val="2"/>
    </font>
    <font>
      <sz val="10"/>
      <color rgb="FFFFFFFF"/>
      <name val="Calibri"/>
      <family val="2"/>
    </font>
    <font>
      <sz val="8"/>
      <color theme="1"/>
      <name val="Calibri"/>
      <family val="2"/>
      <scheme val="minor"/>
    </font>
    <font>
      <b/>
      <sz val="9"/>
      <color theme="1"/>
      <name val="Calibri"/>
      <family val="2"/>
      <scheme val="minor"/>
    </font>
    <font>
      <sz val="9"/>
      <name val="Calibri"/>
      <family val="2"/>
      <scheme val="minor"/>
    </font>
    <font>
      <sz val="9"/>
      <color theme="1"/>
      <name val="Calibri"/>
      <family val="2"/>
    </font>
    <font>
      <b/>
      <sz val="10"/>
      <color rgb="FFFFFFFF"/>
      <name val="Calibri"/>
      <family val="2"/>
    </font>
    <font>
      <b/>
      <sz val="9"/>
      <color rgb="FF000000"/>
      <name val="Calibri"/>
      <family val="2"/>
    </font>
    <font>
      <sz val="9"/>
      <color rgb="FF000000"/>
      <name val="Calibri"/>
      <family val="2"/>
    </font>
    <font>
      <b/>
      <sz val="9"/>
      <color rgb="FF000000"/>
      <name val="Calibri"/>
      <family val="2"/>
      <scheme val="minor"/>
    </font>
    <font>
      <sz val="9"/>
      <color rgb="FF000000"/>
      <name val="Calibri"/>
      <family val="2"/>
      <scheme val="minor"/>
    </font>
    <font>
      <sz val="9"/>
      <color rgb="FF444444"/>
      <name val="Calibri"/>
      <family val="2"/>
    </font>
    <font>
      <b/>
      <sz val="9"/>
      <color rgb="FF444444"/>
      <name val="Calibri"/>
      <family val="2"/>
    </font>
    <font>
      <b/>
      <sz val="13"/>
      <color rgb="FF2F5496"/>
      <name val="Calibri"/>
      <family val="2"/>
      <scheme val="minor"/>
    </font>
    <font>
      <sz val="11"/>
      <color theme="1"/>
      <name val="Symbol"/>
      <family val="1"/>
      <charset val="2"/>
    </font>
    <font>
      <b/>
      <sz val="11"/>
      <color rgb="FFC00000"/>
      <name val="Calibri"/>
      <family val="2"/>
      <scheme val="minor"/>
    </font>
    <font>
      <u/>
      <sz val="9"/>
      <color theme="10"/>
      <name val="Calibri"/>
      <family val="2"/>
      <scheme val="minor"/>
    </font>
    <font>
      <sz val="11"/>
      <name val="Calibri"/>
      <family val="2"/>
      <scheme val="minor"/>
    </font>
    <font>
      <b/>
      <sz val="11"/>
      <name val="Calibri"/>
      <family val="2"/>
    </font>
    <font>
      <b/>
      <sz val="11"/>
      <color rgb="FFFF0000"/>
      <name val="Calibri"/>
      <family val="2"/>
      <scheme val="minor"/>
    </font>
    <font>
      <sz val="11"/>
      <color rgb="FF00B050"/>
      <name val="Calibri"/>
      <family val="2"/>
      <scheme val="minor"/>
    </font>
    <font>
      <i/>
      <sz val="11"/>
      <color rgb="FFFF0000"/>
      <name val="Calibri"/>
      <family val="2"/>
      <scheme val="minor"/>
    </font>
    <font>
      <i/>
      <sz val="11"/>
      <color rgb="FF00B050"/>
      <name val="Calibri"/>
      <family val="2"/>
      <scheme val="minor"/>
    </font>
    <font>
      <sz val="9"/>
      <name val="Calibri"/>
      <family val="2"/>
    </font>
    <font>
      <b/>
      <sz val="9"/>
      <name val="Calibri"/>
      <family val="2"/>
    </font>
    <font>
      <vertAlign val="superscript"/>
      <sz val="9"/>
      <color rgb="FF000000"/>
      <name val="Calibri"/>
      <family val="2"/>
    </font>
    <font>
      <sz val="11"/>
      <color rgb="FF444444"/>
      <name val="Calibri"/>
      <family val="2"/>
    </font>
    <font>
      <i/>
      <sz val="9"/>
      <color theme="1"/>
      <name val="Calibri"/>
      <family val="2"/>
      <scheme val="minor"/>
    </font>
    <font>
      <b/>
      <sz val="9"/>
      <name val="Calibri"/>
      <family val="2"/>
      <scheme val="minor"/>
    </font>
    <font>
      <i/>
      <sz val="11"/>
      <color theme="1"/>
      <name val="Calibri"/>
      <family val="2"/>
      <scheme val="minor"/>
    </font>
    <font>
      <i/>
      <sz val="11"/>
      <name val="Calibri"/>
      <family val="2"/>
      <scheme val="minor"/>
    </font>
    <font>
      <b/>
      <sz val="11"/>
      <name val="Calibri"/>
      <family val="2"/>
      <scheme val="minor"/>
    </font>
    <font>
      <sz val="11"/>
      <name val="Calibri"/>
      <family val="2"/>
    </font>
    <font>
      <sz val="10"/>
      <color theme="1"/>
      <name val="Calibri"/>
      <family val="2"/>
      <scheme val="minor"/>
    </font>
    <font>
      <b/>
      <sz val="10"/>
      <color theme="1"/>
      <name val="Calibri"/>
      <family val="2"/>
      <scheme val="minor"/>
    </font>
    <font>
      <i/>
      <sz val="11"/>
      <color rgb="FF000000"/>
      <name val="Calibri"/>
      <family val="2"/>
    </font>
    <font>
      <b/>
      <sz val="11"/>
      <color rgb="FF000000"/>
      <name val="Calibri"/>
      <family val="2"/>
    </font>
    <font>
      <i/>
      <sz val="11"/>
      <color rgb="FF000000"/>
      <name val="Calibri"/>
      <family val="2"/>
      <scheme val="minor"/>
    </font>
    <font>
      <b/>
      <vertAlign val="superscript"/>
      <sz val="11"/>
      <color rgb="FF000000"/>
      <name val="Calibri"/>
      <family val="2"/>
    </font>
    <font>
      <sz val="11"/>
      <color rgb="FF000000"/>
      <name val="Calibri"/>
      <family val="2"/>
      <scheme val="minor"/>
    </font>
    <font>
      <sz val="11"/>
      <color rgb="FFFF0000"/>
      <name val="Aptos Narrow"/>
      <family val="2"/>
    </font>
    <font>
      <sz val="11"/>
      <name val="Aptos Narrow"/>
      <family val="2"/>
    </font>
    <font>
      <i/>
      <sz val="9"/>
      <name val="Calibri"/>
      <family val="2"/>
      <scheme val="minor"/>
    </font>
    <font>
      <b/>
      <sz val="12"/>
      <color rgb="FF595959"/>
      <name val="Calibri"/>
      <family val="2"/>
      <scheme val="minor"/>
    </font>
    <font>
      <i/>
      <sz val="9"/>
      <color rgb="FF000000"/>
      <name val="Calibri"/>
      <family val="2"/>
    </font>
  </fonts>
  <fills count="12">
    <fill>
      <patternFill patternType="none"/>
    </fill>
    <fill>
      <patternFill patternType="gray125"/>
    </fill>
    <fill>
      <patternFill patternType="solid">
        <fgColor rgb="FF0070C0"/>
        <bgColor indexed="64"/>
      </patternFill>
    </fill>
    <fill>
      <patternFill patternType="solid">
        <fgColor rgb="FFD9E1F2"/>
        <bgColor rgb="FFD9E1F2"/>
      </patternFill>
    </fill>
    <fill>
      <patternFill patternType="solid">
        <fgColor rgb="FFE7E6E6"/>
        <bgColor rgb="FF000000"/>
      </patternFill>
    </fill>
    <fill>
      <patternFill patternType="solid">
        <fgColor rgb="FF4472C4"/>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bgColor rgb="FFD9E1F2"/>
      </patternFill>
    </fill>
  </fills>
  <borders count="15">
    <border>
      <left/>
      <right/>
      <top/>
      <bottom/>
      <diagonal/>
    </border>
    <border>
      <left/>
      <right/>
      <top style="thin">
        <color indexed="6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int="0.39997558519241921"/>
      </top>
      <bottom style="thin">
        <color theme="4" tint="0.39997558519241921"/>
      </bottom>
      <diagonal/>
    </border>
    <border>
      <left/>
      <right/>
      <top/>
      <bottom style="thin">
        <color theme="4"/>
      </bottom>
      <diagonal/>
    </border>
    <border>
      <left/>
      <right/>
      <top style="thin">
        <color theme="4"/>
      </top>
      <bottom/>
      <diagonal/>
    </border>
    <border>
      <left/>
      <right style="thin">
        <color indexed="64"/>
      </right>
      <top style="thin">
        <color theme="4"/>
      </top>
      <bottom style="thin">
        <color theme="4"/>
      </bottom>
      <diagonal/>
    </border>
    <border>
      <left style="thin">
        <color auto="1"/>
      </left>
      <right style="thin">
        <color auto="1"/>
      </right>
      <top/>
      <bottom style="thin">
        <color auto="1"/>
      </bottom>
      <diagonal/>
    </border>
    <border>
      <left style="thin">
        <color theme="4"/>
      </left>
      <right/>
      <top/>
      <bottom style="thin">
        <color theme="4"/>
      </bottom>
      <diagonal/>
    </border>
    <border>
      <left/>
      <right style="thin">
        <color theme="4"/>
      </right>
      <top/>
      <bottom style="thin">
        <color theme="4"/>
      </bottom>
      <diagonal/>
    </border>
    <border>
      <left style="thin">
        <color theme="4"/>
      </left>
      <right/>
      <top style="thin">
        <color theme="4"/>
      </top>
      <bottom style="medium">
        <color indexed="64"/>
      </bottom>
      <diagonal/>
    </border>
    <border>
      <left/>
      <right style="thin">
        <color theme="4"/>
      </right>
      <top style="thin">
        <color theme="4"/>
      </top>
      <bottom style="medium">
        <color indexed="64"/>
      </bottom>
      <diagonal/>
    </border>
  </borders>
  <cellStyleXfs count="5">
    <xf numFmtId="0" fontId="0" fillId="0" borderId="0"/>
    <xf numFmtId="44"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62">
    <xf numFmtId="0" fontId="0" fillId="0" borderId="0" xfId="0"/>
    <xf numFmtId="0" fontId="8" fillId="0" borderId="0" xfId="0" applyFont="1"/>
    <xf numFmtId="0" fontId="3" fillId="0" borderId="0" xfId="0" applyFont="1"/>
    <xf numFmtId="0" fontId="2" fillId="0" borderId="0" xfId="0" applyFont="1"/>
    <xf numFmtId="0" fontId="0" fillId="0" borderId="0" xfId="0" applyAlignment="1">
      <alignment vertical="top"/>
    </xf>
    <xf numFmtId="0" fontId="11" fillId="0" borderId="0" xfId="0" applyFont="1"/>
    <xf numFmtId="0" fontId="14" fillId="0" borderId="0" xfId="0" applyFont="1"/>
    <xf numFmtId="0" fontId="14" fillId="0" borderId="0" xfId="0" applyFont="1" applyAlignment="1">
      <alignment wrapText="1"/>
    </xf>
    <xf numFmtId="0" fontId="7" fillId="0" borderId="0" xfId="0" applyFont="1"/>
    <xf numFmtId="0" fontId="4" fillId="0" borderId="0" xfId="0" applyFont="1"/>
    <xf numFmtId="0" fontId="25" fillId="0" borderId="0" xfId="0" applyFont="1"/>
    <xf numFmtId="168" fontId="0" fillId="0" borderId="0" xfId="0" applyNumberFormat="1"/>
    <xf numFmtId="0" fontId="0" fillId="0" borderId="0" xfId="0" applyAlignment="1">
      <alignment vertical="center"/>
    </xf>
    <xf numFmtId="0" fontId="0" fillId="8" borderId="2" xfId="0" applyFill="1" applyBorder="1"/>
    <xf numFmtId="0" fontId="0" fillId="0" borderId="2" xfId="0" applyBorder="1"/>
    <xf numFmtId="0" fontId="2" fillId="8" borderId="2" xfId="0" applyFont="1" applyFill="1" applyBorder="1"/>
    <xf numFmtId="0" fontId="9" fillId="0" borderId="0" xfId="2" applyAlignment="1">
      <alignment vertical="center"/>
    </xf>
    <xf numFmtId="0" fontId="10" fillId="2" borderId="2" xfId="0" applyFont="1" applyFill="1" applyBorder="1"/>
    <xf numFmtId="0" fontId="10" fillId="2" borderId="5" xfId="0" applyFont="1" applyFill="1" applyBorder="1"/>
    <xf numFmtId="0" fontId="10" fillId="2" borderId="2" xfId="0" applyFont="1" applyFill="1" applyBorder="1" applyAlignment="1">
      <alignment vertical="center"/>
    </xf>
    <xf numFmtId="0" fontId="0" fillId="8" borderId="2" xfId="0" applyFill="1" applyBorder="1" applyAlignment="1">
      <alignment horizontal="left"/>
    </xf>
    <xf numFmtId="0" fontId="0" fillId="0" borderId="2" xfId="0" applyBorder="1" applyAlignment="1">
      <alignment horizontal="left"/>
    </xf>
    <xf numFmtId="166" fontId="0" fillId="0" borderId="4" xfId="0" applyNumberFormat="1" applyBorder="1"/>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4" fillId="3" borderId="2" xfId="0" applyFont="1" applyFill="1" applyBorder="1"/>
    <xf numFmtId="14" fontId="4" fillId="3" borderId="3" xfId="0" applyNumberFormat="1" applyFont="1" applyFill="1" applyBorder="1"/>
    <xf numFmtId="0" fontId="4" fillId="0" borderId="2" xfId="0" applyFont="1" applyBorder="1"/>
    <xf numFmtId="14" fontId="4" fillId="0" borderId="3" xfId="0" applyNumberFormat="1" applyFont="1" applyBorder="1"/>
    <xf numFmtId="0" fontId="3" fillId="4" borderId="2" xfId="0" applyFont="1" applyFill="1" applyBorder="1"/>
    <xf numFmtId="0" fontId="3" fillId="4" borderId="3" xfId="0" applyFont="1" applyFill="1" applyBorder="1"/>
    <xf numFmtId="168" fontId="3" fillId="4" borderId="3" xfId="3" applyNumberFormat="1" applyFont="1" applyFill="1" applyBorder="1" applyAlignment="1"/>
    <xf numFmtId="167" fontId="3" fillId="4" borderId="4" xfId="1" applyNumberFormat="1" applyFont="1" applyFill="1" applyBorder="1" applyAlignment="1"/>
    <xf numFmtId="168" fontId="4" fillId="3" borderId="3" xfId="0" applyNumberFormat="1" applyFont="1" applyFill="1" applyBorder="1"/>
    <xf numFmtId="168" fontId="4" fillId="0" borderId="3" xfId="0" applyNumberFormat="1" applyFont="1" applyBorder="1"/>
    <xf numFmtId="0" fontId="4" fillId="3" borderId="2" xfId="0" applyFont="1" applyFill="1" applyBorder="1" applyAlignment="1">
      <alignment vertical="top"/>
    </xf>
    <xf numFmtId="14" fontId="4" fillId="3" borderId="3" xfId="0" applyNumberFormat="1" applyFont="1" applyFill="1" applyBorder="1" applyAlignment="1">
      <alignment vertical="top"/>
    </xf>
    <xf numFmtId="168" fontId="4" fillId="3" borderId="3" xfId="3" applyNumberFormat="1" applyFont="1" applyFill="1" applyBorder="1" applyAlignment="1">
      <alignment vertical="top"/>
    </xf>
    <xf numFmtId="0" fontId="4" fillId="0" borderId="2" xfId="0" applyFont="1" applyBorder="1" applyAlignment="1">
      <alignment vertical="top"/>
    </xf>
    <xf numFmtId="14" fontId="4" fillId="0" borderId="3" xfId="0" applyNumberFormat="1" applyFont="1" applyBorder="1" applyAlignment="1">
      <alignment vertical="top"/>
    </xf>
    <xf numFmtId="168" fontId="4" fillId="0" borderId="3" xfId="3" applyNumberFormat="1" applyFont="1" applyBorder="1" applyAlignment="1">
      <alignment vertical="top"/>
    </xf>
    <xf numFmtId="0" fontId="3" fillId="4" borderId="2" xfId="0" applyFont="1" applyFill="1" applyBorder="1" applyAlignment="1">
      <alignment vertical="top"/>
    </xf>
    <xf numFmtId="0" fontId="3" fillId="4" borderId="3" xfId="0" applyFont="1" applyFill="1" applyBorder="1" applyAlignment="1">
      <alignment vertical="top"/>
    </xf>
    <xf numFmtId="168" fontId="3" fillId="4" borderId="3" xfId="3" applyNumberFormat="1" applyFont="1" applyFill="1" applyBorder="1" applyAlignment="1">
      <alignment vertical="top"/>
    </xf>
    <xf numFmtId="0" fontId="27" fillId="0" borderId="0" xfId="0" applyFont="1"/>
    <xf numFmtId="168" fontId="3" fillId="0" borderId="0" xfId="0" applyNumberFormat="1" applyFont="1"/>
    <xf numFmtId="14" fontId="0" fillId="0" borderId="0" xfId="0" applyNumberFormat="1" applyAlignment="1">
      <alignment horizontal="left" vertical="top" wrapText="1"/>
    </xf>
    <xf numFmtId="0" fontId="15" fillId="0" borderId="0" xfId="0" applyFont="1" applyAlignment="1">
      <alignment horizontal="left" vertical="center" wrapText="1"/>
    </xf>
    <xf numFmtId="44" fontId="11" fillId="0" borderId="0" xfId="1" applyFont="1"/>
    <xf numFmtId="0" fontId="2" fillId="0" borderId="0" xfId="0" applyFont="1" applyAlignment="1">
      <alignment horizontal="center"/>
    </xf>
    <xf numFmtId="0" fontId="30" fillId="4" borderId="3" xfId="0" applyFont="1" applyFill="1" applyBorder="1" applyAlignment="1">
      <alignment vertical="top"/>
    </xf>
    <xf numFmtId="0" fontId="31" fillId="0" borderId="0" xfId="0" applyFont="1"/>
    <xf numFmtId="44" fontId="32" fillId="0" borderId="0" xfId="1" applyFont="1"/>
    <xf numFmtId="0" fontId="33" fillId="0" borderId="0" xfId="0" applyFont="1"/>
    <xf numFmtId="14" fontId="4" fillId="3" borderId="3" xfId="0" applyNumberFormat="1" applyFont="1" applyFill="1" applyBorder="1" applyAlignment="1">
      <alignment horizontal="right"/>
    </xf>
    <xf numFmtId="0" fontId="34" fillId="0" borderId="0" xfId="0" applyFont="1"/>
    <xf numFmtId="0" fontId="0" fillId="7" borderId="2" xfId="0" applyFill="1" applyBorder="1" applyAlignment="1">
      <alignment horizontal="left" vertical="top"/>
    </xf>
    <xf numFmtId="0" fontId="0" fillId="0" borderId="2" xfId="0" applyBorder="1" applyAlignment="1">
      <alignment horizontal="left" vertical="top"/>
    </xf>
    <xf numFmtId="168" fontId="0" fillId="7" borderId="4" xfId="4" applyNumberFormat="1" applyFont="1" applyFill="1" applyBorder="1" applyAlignment="1">
      <alignment horizontal="right" vertical="top"/>
    </xf>
    <xf numFmtId="168" fontId="0" fillId="0" borderId="4" xfId="4" applyNumberFormat="1" applyFont="1" applyBorder="1" applyAlignment="1">
      <alignment horizontal="right" vertical="top"/>
    </xf>
    <xf numFmtId="165" fontId="0" fillId="0" borderId="0" xfId="0" applyNumberFormat="1"/>
    <xf numFmtId="14" fontId="0" fillId="0" borderId="6" xfId="0" applyNumberFormat="1" applyBorder="1"/>
    <xf numFmtId="14" fontId="4" fillId="0" borderId="3" xfId="0" applyNumberFormat="1" applyFont="1" applyBorder="1" applyAlignment="1">
      <alignment horizontal="right"/>
    </xf>
    <xf numFmtId="168" fontId="11" fillId="0" borderId="0" xfId="0" applyNumberFormat="1" applyFont="1"/>
    <xf numFmtId="14" fontId="29" fillId="0" borderId="0" xfId="0" applyNumberFormat="1" applyFont="1" applyAlignment="1">
      <alignment horizontal="left"/>
    </xf>
    <xf numFmtId="44" fontId="30" fillId="4" borderId="3" xfId="0" applyNumberFormat="1" applyFont="1" applyFill="1" applyBorder="1" applyAlignment="1">
      <alignment vertical="top"/>
    </xf>
    <xf numFmtId="43" fontId="0" fillId="0" borderId="0" xfId="3" applyFont="1"/>
    <xf numFmtId="165" fontId="4" fillId="3" borderId="3" xfId="1" applyNumberFormat="1" applyFont="1" applyFill="1" applyBorder="1" applyAlignment="1">
      <alignment vertical="top"/>
    </xf>
    <xf numFmtId="165" fontId="4" fillId="0" borderId="3" xfId="1" applyNumberFormat="1" applyFont="1" applyBorder="1" applyAlignment="1">
      <alignment vertical="top"/>
    </xf>
    <xf numFmtId="165" fontId="4" fillId="3" borderId="3" xfId="0" applyNumberFormat="1" applyFont="1" applyFill="1" applyBorder="1"/>
    <xf numFmtId="165" fontId="4" fillId="0" borderId="3" xfId="0" applyNumberFormat="1" applyFont="1" applyBorder="1"/>
    <xf numFmtId="167" fontId="4" fillId="0" borderId="4" xfId="0" applyNumberFormat="1" applyFont="1" applyBorder="1"/>
    <xf numFmtId="41" fontId="4" fillId="3" borderId="4" xfId="0" applyNumberFormat="1" applyFont="1" applyFill="1" applyBorder="1"/>
    <xf numFmtId="41" fontId="4" fillId="0" borderId="4" xfId="0" applyNumberFormat="1" applyFont="1" applyBorder="1"/>
    <xf numFmtId="41" fontId="4" fillId="0" borderId="3" xfId="1" applyNumberFormat="1" applyFont="1" applyBorder="1" applyAlignment="1">
      <alignment vertical="top"/>
    </xf>
    <xf numFmtId="165" fontId="0" fillId="8" borderId="3" xfId="1" applyNumberFormat="1" applyFont="1" applyFill="1" applyBorder="1"/>
    <xf numFmtId="165" fontId="0" fillId="8" borderId="4" xfId="1" applyNumberFormat="1" applyFont="1" applyFill="1" applyBorder="1"/>
    <xf numFmtId="165" fontId="0" fillId="0" borderId="4" xfId="1" applyNumberFormat="1" applyFont="1" applyBorder="1"/>
    <xf numFmtId="165" fontId="2" fillId="8" borderId="4" xfId="1" applyNumberFormat="1" applyFont="1" applyFill="1" applyBorder="1"/>
    <xf numFmtId="167" fontId="0" fillId="0" borderId="1" xfId="1" applyNumberFormat="1" applyFont="1" applyFill="1" applyBorder="1"/>
    <xf numFmtId="0" fontId="20" fillId="0" borderId="1" xfId="0" applyFont="1" applyBorder="1" applyAlignment="1">
      <alignment vertical="center"/>
    </xf>
    <xf numFmtId="14" fontId="0" fillId="0" borderId="3" xfId="0" applyNumberFormat="1" applyBorder="1" applyAlignment="1">
      <alignment horizontal="left" vertical="top" wrapText="1"/>
    </xf>
    <xf numFmtId="0" fontId="12" fillId="10" borderId="3" xfId="0" applyFont="1" applyFill="1" applyBorder="1" applyAlignment="1">
      <alignment vertical="center"/>
    </xf>
    <xf numFmtId="0" fontId="3" fillId="0" borderId="3" xfId="0" applyFont="1" applyBorder="1" applyAlignment="1">
      <alignment vertical="center"/>
    </xf>
    <xf numFmtId="167" fontId="2" fillId="0" borderId="3" xfId="1" applyNumberFormat="1" applyFont="1" applyFill="1" applyBorder="1"/>
    <xf numFmtId="0" fontId="4" fillId="10" borderId="3" xfId="0" applyFont="1" applyFill="1" applyBorder="1" applyAlignment="1">
      <alignment vertical="center"/>
    </xf>
    <xf numFmtId="167" fontId="0" fillId="10" borderId="3" xfId="1" applyNumberFormat="1" applyFont="1" applyFill="1" applyBorder="1"/>
    <xf numFmtId="0" fontId="4" fillId="0" borderId="3" xfId="0" applyFont="1" applyBorder="1" applyAlignment="1">
      <alignment vertical="center"/>
    </xf>
    <xf numFmtId="167" fontId="0" fillId="0" borderId="3" xfId="1" applyNumberFormat="1" applyFont="1" applyFill="1" applyBorder="1"/>
    <xf numFmtId="0" fontId="38" fillId="0" borderId="0" xfId="0" applyFont="1"/>
    <xf numFmtId="0" fontId="26" fillId="0" borderId="0" xfId="0" applyFont="1" applyAlignment="1">
      <alignment horizontal="left" vertical="top" indent="5"/>
    </xf>
    <xf numFmtId="168" fontId="4" fillId="8" borderId="3" xfId="3" applyNumberFormat="1" applyFont="1" applyFill="1" applyBorder="1" applyAlignment="1">
      <alignment vertical="top"/>
    </xf>
    <xf numFmtId="165" fontId="4" fillId="8" borderId="3" xfId="1" applyNumberFormat="1" applyFont="1" applyFill="1" applyBorder="1" applyAlignment="1">
      <alignment vertical="top"/>
    </xf>
    <xf numFmtId="41" fontId="4" fillId="8" borderId="3" xfId="1" applyNumberFormat="1" applyFont="1" applyFill="1" applyBorder="1" applyAlignment="1">
      <alignment vertical="top"/>
    </xf>
    <xf numFmtId="0" fontId="4" fillId="8" borderId="2" xfId="0" applyFont="1" applyFill="1" applyBorder="1" applyAlignment="1">
      <alignment vertical="top"/>
    </xf>
    <xf numFmtId="14" fontId="4" fillId="8" borderId="3" xfId="0" applyNumberFormat="1" applyFont="1" applyFill="1" applyBorder="1" applyAlignment="1">
      <alignment vertical="top"/>
    </xf>
    <xf numFmtId="164" fontId="4" fillId="8" borderId="4" xfId="1" applyNumberFormat="1" applyFont="1" applyFill="1" applyBorder="1" applyAlignment="1">
      <alignment vertical="top"/>
    </xf>
    <xf numFmtId="164" fontId="4" fillId="0" borderId="4" xfId="1" applyNumberFormat="1" applyFont="1" applyBorder="1" applyAlignment="1">
      <alignment vertical="top"/>
    </xf>
    <xf numFmtId="164" fontId="4" fillId="3" borderId="4" xfId="1" applyNumberFormat="1" applyFont="1" applyFill="1" applyBorder="1" applyAlignment="1">
      <alignment vertical="top"/>
    </xf>
    <xf numFmtId="164" fontId="3" fillId="4" borderId="4" xfId="1" applyNumberFormat="1" applyFont="1" applyFill="1" applyBorder="1" applyAlignment="1"/>
    <xf numFmtId="164" fontId="18" fillId="5" borderId="4" xfId="1" applyNumberFormat="1" applyFont="1" applyFill="1" applyBorder="1" applyAlignment="1">
      <alignment horizontal="center" vertical="center" wrapText="1"/>
    </xf>
    <xf numFmtId="165" fontId="29" fillId="0" borderId="3" xfId="1" quotePrefix="1" applyNumberFormat="1" applyFont="1" applyBorder="1"/>
    <xf numFmtId="43" fontId="11" fillId="0" borderId="0" xfId="0" applyNumberFormat="1" applyFont="1"/>
    <xf numFmtId="168" fontId="31" fillId="0" borderId="0" xfId="0" applyNumberFormat="1" applyFont="1"/>
    <xf numFmtId="0" fontId="9" fillId="0" borderId="0" xfId="2"/>
    <xf numFmtId="168" fontId="4" fillId="0" borderId="3" xfId="0" applyNumberFormat="1" applyFont="1" applyBorder="1" applyAlignment="1">
      <alignment horizontal="left" indent="2"/>
    </xf>
    <xf numFmtId="168" fontId="4" fillId="3" borderId="3" xfId="0" applyNumberFormat="1" applyFont="1" applyFill="1" applyBorder="1" applyAlignment="1">
      <alignment horizontal="left" indent="2"/>
    </xf>
    <xf numFmtId="0" fontId="29" fillId="0" borderId="0" xfId="0" applyFont="1"/>
    <xf numFmtId="167" fontId="29" fillId="0" borderId="4" xfId="1" applyNumberFormat="1" applyFont="1" applyBorder="1"/>
    <xf numFmtId="167" fontId="29" fillId="8" borderId="4" xfId="1" applyNumberFormat="1" applyFont="1" applyFill="1" applyBorder="1"/>
    <xf numFmtId="165" fontId="29" fillId="8" borderId="3" xfId="1" applyNumberFormat="1" applyFont="1" applyFill="1" applyBorder="1"/>
    <xf numFmtId="165" fontId="29" fillId="8" borderId="4" xfId="1" applyNumberFormat="1" applyFont="1" applyFill="1" applyBorder="1"/>
    <xf numFmtId="165" fontId="42" fillId="0" borderId="3" xfId="1" quotePrefix="1" applyNumberFormat="1" applyFont="1" applyBorder="1"/>
    <xf numFmtId="165" fontId="42" fillId="0" borderId="4" xfId="1" applyNumberFormat="1" applyFont="1" applyBorder="1"/>
    <xf numFmtId="165" fontId="42" fillId="8" borderId="3" xfId="1" applyNumberFormat="1" applyFont="1" applyFill="1" applyBorder="1"/>
    <xf numFmtId="165" fontId="42" fillId="8" borderId="4" xfId="1" applyNumberFormat="1" applyFont="1" applyFill="1" applyBorder="1"/>
    <xf numFmtId="167" fontId="43" fillId="0" borderId="3" xfId="1" applyNumberFormat="1" applyFont="1" applyFill="1" applyBorder="1"/>
    <xf numFmtId="167" fontId="29" fillId="10" borderId="3" xfId="1" applyNumberFormat="1" applyFont="1" applyFill="1" applyBorder="1"/>
    <xf numFmtId="167" fontId="29" fillId="0" borderId="3" xfId="1" applyNumberFormat="1" applyFont="1" applyFill="1" applyBorder="1"/>
    <xf numFmtId="0" fontId="30" fillId="0" borderId="0" xfId="0" applyFont="1"/>
    <xf numFmtId="0" fontId="43" fillId="0" borderId="0" xfId="0" applyFont="1"/>
    <xf numFmtId="0" fontId="8" fillId="0" borderId="0" xfId="0" applyFont="1" applyAlignment="1">
      <alignment horizontal="left"/>
    </xf>
    <xf numFmtId="0" fontId="2" fillId="0" borderId="0" xfId="0" applyFont="1" applyAlignment="1">
      <alignment horizontal="left"/>
    </xf>
    <xf numFmtId="0" fontId="10" fillId="6" borderId="2" xfId="0" applyFont="1" applyFill="1" applyBorder="1" applyAlignment="1">
      <alignment horizontal="left" vertical="top" wrapText="1"/>
    </xf>
    <xf numFmtId="0" fontId="14" fillId="0" borderId="0" xfId="0" applyFont="1" applyAlignment="1">
      <alignment horizontal="left" vertical="center"/>
    </xf>
    <xf numFmtId="0" fontId="28" fillId="0" borderId="0" xfId="2" applyFont="1" applyAlignment="1">
      <alignment horizontal="left" vertical="top"/>
    </xf>
    <xf numFmtId="0" fontId="14" fillId="0" borderId="0" xfId="0" applyFont="1" applyAlignment="1">
      <alignment horizontal="left" wrapText="1"/>
    </xf>
    <xf numFmtId="0" fontId="2" fillId="0" borderId="0" xfId="0" applyFont="1" applyAlignment="1">
      <alignment horizontal="left" vertical="center"/>
    </xf>
    <xf numFmtId="0" fontId="0" fillId="0" borderId="0" xfId="0" applyAlignment="1">
      <alignment horizontal="left"/>
    </xf>
    <xf numFmtId="0" fontId="2" fillId="0" borderId="0" xfId="0" applyFont="1" applyAlignment="1">
      <alignment horizontal="left" vertical="top"/>
    </xf>
    <xf numFmtId="0" fontId="14" fillId="0" borderId="0" xfId="0" applyFont="1" applyAlignment="1">
      <alignment horizontal="left"/>
    </xf>
    <xf numFmtId="0" fontId="0" fillId="0" borderId="0" xfId="0" applyAlignment="1">
      <alignment horizontal="right"/>
    </xf>
    <xf numFmtId="0" fontId="0" fillId="0" borderId="0" xfId="0" applyAlignment="1">
      <alignment horizontal="right" vertical="top" wrapText="1"/>
    </xf>
    <xf numFmtId="0" fontId="2" fillId="0" borderId="0" xfId="0" applyFont="1" applyAlignment="1">
      <alignment horizontal="right"/>
    </xf>
    <xf numFmtId="0" fontId="10" fillId="6" borderId="4" xfId="0" applyFont="1" applyFill="1" applyBorder="1" applyAlignment="1">
      <alignment horizontal="right" vertical="top"/>
    </xf>
    <xf numFmtId="0" fontId="7" fillId="0" borderId="0" xfId="0" applyFont="1" applyAlignment="1">
      <alignment horizontal="right" vertical="top" wrapText="1"/>
    </xf>
    <xf numFmtId="0" fontId="14" fillId="0" borderId="0" xfId="0" applyFont="1" applyAlignment="1">
      <alignment horizontal="right" wrapText="1"/>
    </xf>
    <xf numFmtId="168" fontId="0" fillId="0" borderId="0" xfId="4" applyNumberFormat="1" applyFont="1" applyFill="1" applyAlignment="1">
      <alignment horizontal="right"/>
    </xf>
    <xf numFmtId="168" fontId="2" fillId="0" borderId="0" xfId="4" applyNumberFormat="1" applyFont="1" applyFill="1" applyAlignment="1">
      <alignment horizontal="right"/>
    </xf>
    <xf numFmtId="0" fontId="0" fillId="0" borderId="0" xfId="0" applyAlignment="1">
      <alignment horizontal="right" vertical="top"/>
    </xf>
    <xf numFmtId="0" fontId="14" fillId="0" borderId="0" xfId="0" applyFont="1" applyAlignment="1">
      <alignment horizontal="right"/>
    </xf>
    <xf numFmtId="168" fontId="4" fillId="0" borderId="3" xfId="0" applyNumberFormat="1" applyFont="1" applyBorder="1" applyAlignment="1">
      <alignment horizontal="left" indent="1"/>
    </xf>
    <xf numFmtId="164" fontId="2" fillId="10" borderId="3" xfId="1" applyNumberFormat="1" applyFont="1" applyFill="1" applyBorder="1" applyAlignment="1">
      <alignment horizontal="right"/>
    </xf>
    <xf numFmtId="0" fontId="10" fillId="2" borderId="3" xfId="0" applyFont="1" applyFill="1" applyBorder="1" applyAlignment="1">
      <alignment horizontal="right"/>
    </xf>
    <xf numFmtId="0" fontId="10" fillId="2" borderId="4" xfId="0" applyFont="1" applyFill="1" applyBorder="1" applyAlignment="1">
      <alignment horizontal="right"/>
    </xf>
    <xf numFmtId="165" fontId="0" fillId="8" borderId="3" xfId="1" applyNumberFormat="1" applyFont="1" applyFill="1" applyBorder="1" applyAlignment="1">
      <alignment horizontal="right"/>
    </xf>
    <xf numFmtId="165" fontId="0" fillId="8" borderId="4" xfId="1" applyNumberFormat="1" applyFont="1" applyFill="1" applyBorder="1" applyAlignment="1">
      <alignment horizontal="right"/>
    </xf>
    <xf numFmtId="165" fontId="0" fillId="0" borderId="3" xfId="1" applyNumberFormat="1" applyFont="1" applyBorder="1" applyAlignment="1">
      <alignment horizontal="right"/>
    </xf>
    <xf numFmtId="165" fontId="0" fillId="0" borderId="4" xfId="1" applyNumberFormat="1" applyFont="1" applyBorder="1" applyAlignment="1">
      <alignment horizontal="right"/>
    </xf>
    <xf numFmtId="165" fontId="2" fillId="8" borderId="4" xfId="1" applyNumberFormat="1" applyFont="1" applyFill="1" applyBorder="1" applyAlignment="1">
      <alignment horizontal="right"/>
    </xf>
    <xf numFmtId="0" fontId="10" fillId="2" borderId="4" xfId="0" applyFont="1" applyFill="1" applyBorder="1" applyAlignment="1">
      <alignment horizontal="right" vertical="center" wrapText="1"/>
    </xf>
    <xf numFmtId="0" fontId="0" fillId="0" borderId="0" xfId="0" applyAlignment="1">
      <alignment horizontal="left" vertical="center"/>
    </xf>
    <xf numFmtId="167" fontId="11" fillId="0" borderId="0" xfId="0" applyNumberFormat="1" applyFont="1"/>
    <xf numFmtId="43" fontId="29" fillId="0" borderId="0" xfId="0" applyNumberFormat="1" applyFont="1"/>
    <xf numFmtId="43" fontId="0" fillId="0" borderId="0" xfId="0" applyNumberFormat="1"/>
    <xf numFmtId="165" fontId="2" fillId="8" borderId="3" xfId="1" applyNumberFormat="1" applyFont="1" applyFill="1" applyBorder="1" applyAlignment="1">
      <alignment horizontal="right"/>
    </xf>
    <xf numFmtId="167" fontId="4" fillId="3" borderId="4" xfId="0" applyNumberFormat="1" applyFont="1" applyFill="1" applyBorder="1"/>
    <xf numFmtId="168" fontId="29" fillId="0" borderId="0" xfId="0" applyNumberFormat="1" applyFont="1"/>
    <xf numFmtId="165" fontId="47" fillId="0" borderId="3" xfId="0" applyNumberFormat="1" applyFont="1" applyBorder="1"/>
    <xf numFmtId="0" fontId="20" fillId="0" borderId="2" xfId="0" applyFont="1" applyBorder="1"/>
    <xf numFmtId="168" fontId="1" fillId="0" borderId="4" xfId="4" applyNumberFormat="1" applyFont="1" applyBorder="1" applyAlignment="1">
      <alignment horizontal="right" vertical="top"/>
    </xf>
    <xf numFmtId="0" fontId="10" fillId="6" borderId="2" xfId="0" applyFont="1" applyFill="1" applyBorder="1" applyAlignment="1">
      <alignment horizontal="left" vertical="center" wrapText="1"/>
    </xf>
    <xf numFmtId="0" fontId="10" fillId="6" borderId="4" xfId="0" applyFont="1" applyFill="1" applyBorder="1" applyAlignment="1">
      <alignment horizontal="right" vertical="center" wrapText="1"/>
    </xf>
    <xf numFmtId="0" fontId="48" fillId="0" borderId="3" xfId="0" applyFont="1" applyBorder="1" applyAlignment="1">
      <alignment vertical="center"/>
    </xf>
    <xf numFmtId="5" fontId="2" fillId="0" borderId="3" xfId="1" applyNumberFormat="1" applyFont="1" applyBorder="1"/>
    <xf numFmtId="5" fontId="0" fillId="10" borderId="3" xfId="1" applyNumberFormat="1" applyFont="1" applyFill="1" applyBorder="1"/>
    <xf numFmtId="5" fontId="0" fillId="0" borderId="3" xfId="1" applyNumberFormat="1" applyFont="1" applyFill="1" applyBorder="1"/>
    <xf numFmtId="0" fontId="7" fillId="0" borderId="0" xfId="0" applyFont="1" applyAlignment="1">
      <alignment horizontal="left" vertical="top" wrapText="1"/>
    </xf>
    <xf numFmtId="14" fontId="29" fillId="0" borderId="7" xfId="0" applyNumberFormat="1" applyFont="1" applyBorder="1" applyAlignment="1">
      <alignment horizontal="left" vertical="top" wrapText="1"/>
    </xf>
    <xf numFmtId="0" fontId="0" fillId="0" borderId="0" xfId="0" applyAlignment="1">
      <alignment horizontal="left" vertical="top" wrapText="1"/>
    </xf>
    <xf numFmtId="0" fontId="45" fillId="0" borderId="0" xfId="0" applyFont="1" applyAlignment="1">
      <alignment horizontal="left" vertical="top" wrapText="1"/>
    </xf>
    <xf numFmtId="0" fontId="48" fillId="0" borderId="0" xfId="0" applyFont="1" applyAlignment="1">
      <alignment horizontal="left" vertical="center"/>
    </xf>
    <xf numFmtId="166" fontId="0" fillId="0" borderId="0" xfId="0" applyNumberFormat="1"/>
    <xf numFmtId="0" fontId="45" fillId="0" borderId="0" xfId="0" applyFont="1" applyAlignment="1">
      <alignment vertical="top" wrapText="1"/>
    </xf>
    <xf numFmtId="0" fontId="23" fillId="0" borderId="0" xfId="0" applyFont="1" applyAlignment="1">
      <alignment vertical="top" wrapText="1"/>
    </xf>
    <xf numFmtId="0" fontId="3" fillId="10" borderId="3" xfId="0" applyFont="1" applyFill="1" applyBorder="1" applyAlignment="1">
      <alignment horizontal="right" vertical="center"/>
    </xf>
    <xf numFmtId="0" fontId="51" fillId="8" borderId="2" xfId="0" applyFont="1" applyFill="1" applyBorder="1"/>
    <xf numFmtId="14" fontId="51" fillId="0" borderId="0" xfId="0" applyNumberFormat="1" applyFont="1" applyAlignment="1">
      <alignment horizontal="left"/>
    </xf>
    <xf numFmtId="0" fontId="0" fillId="0" borderId="0" xfId="0" quotePrefix="1"/>
    <xf numFmtId="166" fontId="29" fillId="8" borderId="4" xfId="0" applyNumberFormat="1" applyFont="1" applyFill="1" applyBorder="1"/>
    <xf numFmtId="165" fontId="43" fillId="8" borderId="3" xfId="1" applyNumberFormat="1" applyFont="1" applyFill="1" applyBorder="1" applyAlignment="1">
      <alignment horizontal="right"/>
    </xf>
    <xf numFmtId="165" fontId="43" fillId="8" borderId="4" xfId="1" applyNumberFormat="1" applyFont="1" applyFill="1" applyBorder="1"/>
    <xf numFmtId="168" fontId="4" fillId="0" borderId="0" xfId="0" applyNumberFormat="1" applyFont="1"/>
    <xf numFmtId="165" fontId="4" fillId="0" borderId="0" xfId="0" applyNumberFormat="1" applyFont="1"/>
    <xf numFmtId="41" fontId="4" fillId="3" borderId="9" xfId="0" applyNumberFormat="1" applyFont="1" applyFill="1" applyBorder="1"/>
    <xf numFmtId="167" fontId="4" fillId="0" borderId="9" xfId="0" applyNumberFormat="1" applyFont="1" applyBorder="1"/>
    <xf numFmtId="167" fontId="3" fillId="4" borderId="9" xfId="1" applyNumberFormat="1" applyFont="1" applyFill="1" applyBorder="1" applyAlignment="1"/>
    <xf numFmtId="167" fontId="4" fillId="3" borderId="9" xfId="0" applyNumberFormat="1" applyFont="1" applyFill="1" applyBorder="1"/>
    <xf numFmtId="0" fontId="4" fillId="8" borderId="2" xfId="0" applyFont="1" applyFill="1" applyBorder="1"/>
    <xf numFmtId="14" fontId="4" fillId="8" borderId="3" xfId="0" applyNumberFormat="1" applyFont="1" applyFill="1" applyBorder="1"/>
    <xf numFmtId="168" fontId="4" fillId="8" borderId="3" xfId="0" applyNumberFormat="1" applyFont="1" applyFill="1" applyBorder="1"/>
    <xf numFmtId="165" fontId="4" fillId="8" borderId="3" xfId="0" applyNumberFormat="1" applyFont="1" applyFill="1" applyBorder="1"/>
    <xf numFmtId="41" fontId="4" fillId="8" borderId="4" xfId="0" applyNumberFormat="1" applyFont="1" applyFill="1" applyBorder="1"/>
    <xf numFmtId="167" fontId="4" fillId="8" borderId="4" xfId="0" applyNumberFormat="1" applyFont="1" applyFill="1" applyBorder="1"/>
    <xf numFmtId="0" fontId="4" fillId="11" borderId="2" xfId="0" applyFont="1" applyFill="1" applyBorder="1"/>
    <xf numFmtId="14" fontId="4" fillId="11" borderId="3" xfId="0" applyNumberFormat="1" applyFont="1" applyFill="1" applyBorder="1" applyAlignment="1">
      <alignment horizontal="right"/>
    </xf>
    <xf numFmtId="14" fontId="4" fillId="11" borderId="3" xfId="0" applyNumberFormat="1" applyFont="1" applyFill="1" applyBorder="1"/>
    <xf numFmtId="168" fontId="4" fillId="11" borderId="3" xfId="0" applyNumberFormat="1" applyFont="1" applyFill="1" applyBorder="1"/>
    <xf numFmtId="165" fontId="4" fillId="11" borderId="3" xfId="0" applyNumberFormat="1" applyFont="1" applyFill="1" applyBorder="1"/>
    <xf numFmtId="41" fontId="4" fillId="11" borderId="4" xfId="0" applyNumberFormat="1" applyFont="1" applyFill="1" applyBorder="1"/>
    <xf numFmtId="165" fontId="44" fillId="0" borderId="3" xfId="1" applyNumberFormat="1" applyFont="1" applyBorder="1" applyAlignment="1">
      <alignment vertical="top"/>
    </xf>
    <xf numFmtId="164" fontId="44" fillId="0" borderId="4" xfId="1" applyNumberFormat="1" applyFont="1" applyBorder="1" applyAlignment="1">
      <alignment vertical="top"/>
    </xf>
    <xf numFmtId="168" fontId="30" fillId="4" borderId="3" xfId="3" applyNumberFormat="1" applyFont="1" applyFill="1" applyBorder="1" applyAlignment="1">
      <alignment vertical="top"/>
    </xf>
    <xf numFmtId="164" fontId="30" fillId="4" borderId="4" xfId="1" applyNumberFormat="1" applyFont="1" applyFill="1" applyBorder="1" applyAlignment="1"/>
    <xf numFmtId="5" fontId="2" fillId="0" borderId="3" xfId="1" applyNumberFormat="1" applyFont="1" applyBorder="1" applyAlignment="1">
      <alignment horizontal="right"/>
    </xf>
    <xf numFmtId="5" fontId="0" fillId="10" borderId="3" xfId="1" applyNumberFormat="1" applyFont="1" applyFill="1" applyBorder="1" applyAlignment="1">
      <alignment horizontal="right"/>
    </xf>
    <xf numFmtId="17" fontId="11" fillId="0" borderId="0" xfId="0" applyNumberFormat="1" applyFont="1"/>
    <xf numFmtId="169" fontId="4" fillId="3" borderId="3" xfId="0" applyNumberFormat="1" applyFont="1" applyFill="1" applyBorder="1"/>
    <xf numFmtId="169" fontId="4" fillId="0" borderId="3" xfId="0" applyNumberFormat="1" applyFont="1" applyBorder="1"/>
    <xf numFmtId="3" fontId="53" fillId="0" borderId="0" xfId="0" applyNumberFormat="1" applyFont="1"/>
    <xf numFmtId="3" fontId="52" fillId="0" borderId="0" xfId="0" applyNumberFormat="1" applyFont="1"/>
    <xf numFmtId="43" fontId="4" fillId="3" borderId="3" xfId="0" applyNumberFormat="1" applyFont="1" applyFill="1" applyBorder="1"/>
    <xf numFmtId="43" fontId="4" fillId="0" borderId="3" xfId="0" applyNumberFormat="1" applyFont="1" applyBorder="1"/>
    <xf numFmtId="168" fontId="18" fillId="5" borderId="3" xfId="0" applyNumberFormat="1" applyFont="1" applyFill="1" applyBorder="1" applyAlignment="1">
      <alignment horizontal="center" vertical="center" wrapText="1"/>
    </xf>
    <xf numFmtId="43" fontId="4" fillId="8" borderId="3" xfId="0" applyNumberFormat="1" applyFont="1" applyFill="1" applyBorder="1"/>
    <xf numFmtId="43" fontId="4" fillId="11" borderId="3" xfId="0" applyNumberFormat="1" applyFont="1" applyFill="1" applyBorder="1"/>
    <xf numFmtId="165" fontId="3" fillId="4" borderId="3" xfId="3" applyNumberFormat="1" applyFont="1" applyFill="1" applyBorder="1" applyAlignment="1"/>
    <xf numFmtId="165" fontId="18" fillId="5" borderId="3" xfId="0" applyNumberFormat="1" applyFont="1" applyFill="1" applyBorder="1" applyAlignment="1">
      <alignment horizontal="center" vertical="center" wrapText="1"/>
    </xf>
    <xf numFmtId="165" fontId="4" fillId="0" borderId="3" xfId="3" applyNumberFormat="1" applyFont="1" applyBorder="1"/>
    <xf numFmtId="165" fontId="4" fillId="3" borderId="3" xfId="3" applyNumberFormat="1" applyFont="1" applyFill="1" applyBorder="1"/>
    <xf numFmtId="170" fontId="3" fillId="4" borderId="3" xfId="3" applyNumberFormat="1" applyFont="1" applyFill="1" applyBorder="1" applyAlignment="1"/>
    <xf numFmtId="170" fontId="0" fillId="0" borderId="0" xfId="0" applyNumberFormat="1"/>
    <xf numFmtId="170" fontId="18" fillId="5" borderId="3" xfId="0" applyNumberFormat="1" applyFont="1" applyFill="1" applyBorder="1" applyAlignment="1">
      <alignment horizontal="center" vertical="center" wrapText="1"/>
    </xf>
    <xf numFmtId="170" fontId="4" fillId="0" borderId="0" xfId="0" applyNumberFormat="1" applyFont="1"/>
    <xf numFmtId="5" fontId="29" fillId="0" borderId="3" xfId="1" applyNumberFormat="1" applyFont="1" applyFill="1" applyBorder="1"/>
    <xf numFmtId="0" fontId="2" fillId="0" borderId="10" xfId="0" applyFont="1" applyBorder="1" applyAlignment="1">
      <alignment horizontal="center" vertical="top"/>
    </xf>
    <xf numFmtId="164" fontId="0" fillId="0" borderId="0" xfId="1" applyNumberFormat="1" applyFont="1"/>
    <xf numFmtId="164" fontId="2" fillId="0" borderId="0" xfId="1" applyNumberFormat="1" applyFont="1"/>
    <xf numFmtId="0" fontId="2" fillId="0" borderId="0" xfId="0" applyFont="1" applyAlignment="1">
      <alignment vertical="top"/>
    </xf>
    <xf numFmtId="0" fontId="2" fillId="9" borderId="11" xfId="0" applyFont="1" applyFill="1" applyBorder="1" applyAlignment="1">
      <alignment horizontal="left"/>
    </xf>
    <xf numFmtId="167" fontId="43" fillId="0" borderId="12" xfId="1" applyNumberFormat="1" applyFont="1" applyBorder="1"/>
    <xf numFmtId="0" fontId="0" fillId="8" borderId="13" xfId="0" applyFill="1" applyBorder="1" applyAlignment="1">
      <alignment horizontal="left"/>
    </xf>
    <xf numFmtId="167" fontId="29" fillId="8" borderId="14" xfId="1" applyNumberFormat="1" applyFont="1" applyFill="1" applyBorder="1"/>
    <xf numFmtId="167" fontId="43" fillId="9" borderId="12" xfId="1" applyNumberFormat="1" applyFont="1" applyFill="1" applyBorder="1"/>
    <xf numFmtId="0" fontId="0" fillId="9" borderId="0" xfId="0" applyFill="1"/>
    <xf numFmtId="0" fontId="3" fillId="0" borderId="0" xfId="0" applyFont="1" applyAlignment="1">
      <alignment vertical="top"/>
    </xf>
    <xf numFmtId="168" fontId="3" fillId="0" borderId="0" xfId="3" applyNumberFormat="1" applyFont="1" applyFill="1" applyBorder="1" applyAlignment="1">
      <alignment vertical="top"/>
    </xf>
    <xf numFmtId="164" fontId="3" fillId="0" borderId="0" xfId="1" applyNumberFormat="1" applyFont="1" applyFill="1" applyBorder="1" applyAlignment="1"/>
    <xf numFmtId="44" fontId="30" fillId="0" borderId="0" xfId="0" applyNumberFormat="1" applyFont="1" applyAlignment="1">
      <alignment vertical="top"/>
    </xf>
    <xf numFmtId="0" fontId="30" fillId="0" borderId="0" xfId="0" applyFont="1" applyAlignment="1">
      <alignment vertical="top"/>
    </xf>
    <xf numFmtId="0" fontId="55" fillId="0" borderId="0" xfId="0" applyFont="1" applyAlignment="1">
      <alignment horizontal="left" vertical="center" readingOrder="1"/>
    </xf>
    <xf numFmtId="168" fontId="4" fillId="8" borderId="3" xfId="0" applyNumberFormat="1" applyFont="1" applyFill="1" applyBorder="1" applyAlignment="1">
      <alignment horizontal="left" indent="1"/>
    </xf>
    <xf numFmtId="168" fontId="4" fillId="9" borderId="3" xfId="0" applyNumberFormat="1" applyFont="1" applyFill="1" applyBorder="1"/>
    <xf numFmtId="165" fontId="44" fillId="0" borderId="3" xfId="0" applyNumberFormat="1" applyFont="1" applyBorder="1"/>
    <xf numFmtId="167" fontId="0" fillId="0" borderId="0" xfId="0" applyNumberFormat="1"/>
    <xf numFmtId="0" fontId="7" fillId="0" borderId="0" xfId="0" applyFont="1" applyAlignment="1">
      <alignment horizontal="left" vertical="top" wrapText="1"/>
    </xf>
    <xf numFmtId="14" fontId="29" fillId="0" borderId="7" xfId="0" applyNumberFormat="1" applyFont="1" applyBorder="1" applyAlignment="1">
      <alignment horizontal="left" vertical="top" wrapText="1"/>
    </xf>
    <xf numFmtId="0" fontId="2" fillId="0" borderId="3" xfId="0" applyFont="1" applyBorder="1" applyAlignment="1">
      <alignment horizontal="center"/>
    </xf>
    <xf numFmtId="0" fontId="6"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7" fillId="0" borderId="8" xfId="0" applyFont="1" applyBorder="1" applyAlignment="1">
      <alignment horizontal="left" vertical="top" wrapText="1"/>
    </xf>
    <xf numFmtId="0" fontId="35" fillId="0" borderId="8" xfId="0" applyFont="1" applyBorder="1" applyAlignment="1">
      <alignment horizontal="left" vertical="top" wrapText="1"/>
    </xf>
    <xf numFmtId="0" fontId="23" fillId="0" borderId="8" xfId="0" applyFont="1" applyBorder="1" applyAlignment="1">
      <alignment horizontal="left" vertical="top" wrapText="1"/>
    </xf>
    <xf numFmtId="0" fontId="16" fillId="0" borderId="0" xfId="0" applyFont="1" applyAlignment="1">
      <alignment horizontal="left" vertical="top" wrapText="1"/>
    </xf>
    <xf numFmtId="0" fontId="20" fillId="0" borderId="0" xfId="0" applyFont="1" applyAlignment="1">
      <alignment horizontal="left" vertical="top" wrapText="1"/>
    </xf>
    <xf numFmtId="0" fontId="17" fillId="0" borderId="0" xfId="0" applyFont="1" applyAlignment="1">
      <alignment horizontal="left" vertical="top" wrapText="1"/>
    </xf>
    <xf numFmtId="0" fontId="45" fillId="0" borderId="0" xfId="0" applyFont="1" applyAlignment="1">
      <alignment horizontal="left" vertical="top" wrapText="1"/>
    </xf>
    <xf numFmtId="0" fontId="9" fillId="0" borderId="0" xfId="2" applyAlignment="1">
      <alignment horizontal="left" vertical="top"/>
    </xf>
    <xf numFmtId="0" fontId="29" fillId="0" borderId="0" xfId="0" applyFont="1" applyAlignment="1">
      <alignment wrapText="1"/>
    </xf>
    <xf numFmtId="0" fontId="29" fillId="0" borderId="0" xfId="0" applyFont="1" applyAlignment="1">
      <alignment horizontal="left" vertical="top" wrapText="1"/>
    </xf>
  </cellXfs>
  <cellStyles count="5">
    <cellStyle name="Comma" xfId="3" builtinId="3"/>
    <cellStyle name="Comma 2" xfId="4" xr:uid="{F50714E8-1FA6-4C89-928B-9AD142088830}"/>
    <cellStyle name="Currency" xfId="1" builtinId="4"/>
    <cellStyle name="Hyperlink" xfId="2" builtinId="8"/>
    <cellStyle name="Normal" xfId="0" builtinId="0"/>
  </cellStyles>
  <dxfs count="7">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border outline="0">
        <top style="thin">
          <color auto="1"/>
        </top>
      </border>
    </dxf>
    <dxf>
      <font>
        <b val="0"/>
        <i val="0"/>
        <strike val="0"/>
        <condense val="0"/>
        <extend val="0"/>
        <outline val="0"/>
        <shadow val="0"/>
        <u val="none"/>
        <vertAlign val="baseline"/>
        <sz val="11"/>
        <color theme="1"/>
        <name val="Calibri"/>
        <family val="2"/>
        <scheme val="minor"/>
      </font>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Baseline</a:t>
            </a:r>
            <a:r>
              <a:rPr lang="en-US" baseline="0"/>
              <a:t> </a:t>
            </a:r>
            <a:r>
              <a:rPr lang="en-US"/>
              <a:t>Auction Revenue Forecast by Fiscal Year </a:t>
            </a:r>
          </a:p>
          <a:p>
            <a:pPr>
              <a:defRPr/>
            </a:pPr>
            <a:r>
              <a:rPr lang="en-US" sz="1200"/>
              <a:t>($ in thousands)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June 2025 Baseline Forecast</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dLbl>
              <c:idx val="2"/>
              <c:layout>
                <c:manualLayout>
                  <c:x val="-1.1765109132967039E-2"/>
                  <c:y val="-7.644421100089325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B1-444A-A9D0-8C9135B7C723}"/>
                </c:ext>
              </c:extLst>
            </c:dLbl>
            <c:dLbl>
              <c:idx val="3"/>
              <c:layout>
                <c:manualLayout>
                  <c:x val="-7.059065479780224E-3"/>
                  <c:y val="-4.16973240496047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1-444A-A9D0-8C9135B7C723}"/>
                </c:ext>
              </c:extLst>
            </c:dLbl>
            <c:dLbl>
              <c:idx val="4"/>
              <c:layout>
                <c:manualLayout>
                  <c:x val="-9.41208730637363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1-444A-A9D0-8C9135B7C72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'Forecast Summary'!$B$13:$G$13</c:f>
              <c:strCache>
                <c:ptCount val="6"/>
                <c:pt idx="0">
                  <c:v>FY25</c:v>
                </c:pt>
                <c:pt idx="1">
                  <c:v> FY26 </c:v>
                </c:pt>
                <c:pt idx="2">
                  <c:v> FY27 </c:v>
                </c:pt>
                <c:pt idx="3">
                  <c:v> FY28 </c:v>
                </c:pt>
                <c:pt idx="4">
                  <c:v> FY29 </c:v>
                </c:pt>
                <c:pt idx="5">
                  <c:v> FY30 </c:v>
                </c:pt>
              </c:strCache>
            </c:strRef>
          </c:cat>
          <c:val>
            <c:numRef>
              <c:f>'Forecast Summary'!$B$7:$G$7</c:f>
              <c:numCache>
                <c:formatCode>"$"#,##0</c:formatCode>
                <c:ptCount val="6"/>
                <c:pt idx="0">
                  <c:v>1038620.13846</c:v>
                </c:pt>
                <c:pt idx="1">
                  <c:v>1036967</c:v>
                </c:pt>
                <c:pt idx="2">
                  <c:v>707778</c:v>
                </c:pt>
                <c:pt idx="3">
                  <c:v>548276</c:v>
                </c:pt>
                <c:pt idx="4">
                  <c:v>388589</c:v>
                </c:pt>
                <c:pt idx="5">
                  <c:v>317493</c:v>
                </c:pt>
              </c:numCache>
            </c:numRef>
          </c:val>
          <c:extLst>
            <c:ext xmlns:c16="http://schemas.microsoft.com/office/drawing/2014/chart" uri="{C3380CC4-5D6E-409C-BE32-E72D297353CC}">
              <c16:uniqueId val="{00000000-FFD8-4036-BC3A-D9C00207386E}"/>
            </c:ext>
          </c:extLst>
        </c:ser>
        <c:ser>
          <c:idx val="1"/>
          <c:order val="1"/>
          <c:tx>
            <c:v>December 2024 Forecast</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'Forecast Summary'!$B$13:$G$13</c:f>
              <c:strCache>
                <c:ptCount val="6"/>
                <c:pt idx="0">
                  <c:v>FY25</c:v>
                </c:pt>
                <c:pt idx="1">
                  <c:v> FY26 </c:v>
                </c:pt>
                <c:pt idx="2">
                  <c:v> FY27 </c:v>
                </c:pt>
                <c:pt idx="3">
                  <c:v> FY28 </c:v>
                </c:pt>
                <c:pt idx="4">
                  <c:v> FY29 </c:v>
                </c:pt>
                <c:pt idx="5">
                  <c:v> FY30 </c:v>
                </c:pt>
              </c:strCache>
            </c:strRef>
          </c:cat>
          <c:val>
            <c:numRef>
              <c:f>'Forecast Summary'!$B$14:$G$14</c:f>
              <c:numCache>
                <c:formatCode>"$"#,##0</c:formatCode>
                <c:ptCount val="6"/>
                <c:pt idx="0">
                  <c:v>956086</c:v>
                </c:pt>
                <c:pt idx="1">
                  <c:v>876372</c:v>
                </c:pt>
                <c:pt idx="2">
                  <c:v>766584</c:v>
                </c:pt>
                <c:pt idx="3">
                  <c:v>676196</c:v>
                </c:pt>
                <c:pt idx="4">
                  <c:v>571823</c:v>
                </c:pt>
                <c:pt idx="5" formatCode="&quot;$&quot;#,##0_);\(&quot;$&quot;#,##0\)">
                  <c:v>0</c:v>
                </c:pt>
              </c:numCache>
            </c:numRef>
          </c:val>
          <c:extLst>
            <c:ext xmlns:c16="http://schemas.microsoft.com/office/drawing/2014/chart" uri="{C3380CC4-5D6E-409C-BE32-E72D297353CC}">
              <c16:uniqueId val="{00000001-FFD8-4036-BC3A-D9C00207386E}"/>
            </c:ext>
          </c:extLst>
        </c:ser>
        <c:dLbls>
          <c:showLegendKey val="0"/>
          <c:showVal val="0"/>
          <c:showCatName val="0"/>
          <c:showSerName val="0"/>
          <c:showPercent val="0"/>
          <c:showBubbleSize val="0"/>
        </c:dLbls>
        <c:gapWidth val="100"/>
        <c:overlap val="-24"/>
        <c:axId val="1942720640"/>
        <c:axId val="1942725440"/>
      </c:barChart>
      <c:catAx>
        <c:axId val="19427206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1942725440"/>
        <c:crosses val="autoZero"/>
        <c:auto val="1"/>
        <c:lblAlgn val="ctr"/>
        <c:lblOffset val="100"/>
        <c:noMultiLvlLbl val="0"/>
      </c:catAx>
      <c:valAx>
        <c:axId val="1942725440"/>
        <c:scaling>
          <c:orientation val="minMax"/>
        </c:scaling>
        <c:delete val="0"/>
        <c:axPos val="l"/>
        <c:majorGridlines>
          <c:spPr>
            <a:ln w="9525" cap="flat" cmpd="sng" algn="ctr">
              <a:solidFill>
                <a:schemeClr val="tx2">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1942720640"/>
        <c:crosses val="autoZero"/>
        <c:crossBetween val="between"/>
      </c:valAx>
      <c:spPr>
        <a:noFill/>
        <a:ln>
          <a:noFill/>
        </a:ln>
        <a:effectLst/>
      </c:spPr>
    </c:plotArea>
    <c:legend>
      <c:legendPos val="b"/>
      <c:layout>
        <c:manualLayout>
          <c:xMode val="edge"/>
          <c:yMode val="edge"/>
          <c:x val="0.36119121615150124"/>
          <c:y val="0.92193754046252052"/>
          <c:w val="0.50243864417751327"/>
          <c:h val="5.679346876903503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2000">
                <a:solidFill>
                  <a:sysClr val="windowText" lastClr="000000"/>
                </a:solidFill>
              </a:rPr>
              <a:t>Actual auction revenue over time</a:t>
            </a:r>
          </a:p>
        </c:rich>
      </c:tx>
      <c:layout>
        <c:manualLayout>
          <c:xMode val="edge"/>
          <c:yMode val="edge"/>
          <c:x val="0.36497229198407466"/>
          <c:y val="5.389464154556026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75373441168706"/>
          <c:y val="0.20060718686561674"/>
          <c:w val="0.73977564330697576"/>
          <c:h val="0.59020991391682365"/>
        </c:manualLayout>
      </c:layout>
      <c:barChart>
        <c:barDir val="col"/>
        <c:grouping val="clustered"/>
        <c:varyColors val="0"/>
        <c:ser>
          <c:idx val="0"/>
          <c:order val="0"/>
          <c:tx>
            <c:v>Auction Revenue</c:v>
          </c:tx>
          <c:spPr>
            <a:solidFill>
              <a:schemeClr val="accent6"/>
            </a:solidFill>
            <a:ln>
              <a:noFill/>
            </a:ln>
            <a:effectLst/>
          </c:spPr>
          <c:invertIfNegative val="0"/>
          <c:dLbls>
            <c:dLbl>
              <c:idx val="1"/>
              <c:layout>
                <c:manualLayout>
                  <c:x val="-3.0889705251609459E-17"/>
                  <c:y val="8.20424446441865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A6-4FA6-903C-B115C051D7B1}"/>
                </c:ext>
              </c:extLst>
            </c:dLbl>
            <c:dLbl>
              <c:idx val="2"/>
              <c:layout>
                <c:manualLayout>
                  <c:x val="0"/>
                  <c:y val="9.31134254519244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A6-4FA6-903C-B115C051D7B1}"/>
                </c:ext>
              </c:extLst>
            </c:dLbl>
            <c:dLbl>
              <c:idx val="3"/>
              <c:layout>
                <c:manualLayout>
                  <c:x val="0"/>
                  <c:y val="1.82024330912359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A6-4FA6-903C-B115C051D7B1}"/>
                </c:ext>
              </c:extLst>
            </c:dLbl>
            <c:dLbl>
              <c:idx val="4"/>
              <c:layout>
                <c:manualLayout>
                  <c:x val="0"/>
                  <c:y val="-1.7630857054008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A6-4FA6-903C-B115C051D7B1}"/>
                </c:ext>
              </c:extLst>
            </c:dLbl>
            <c:dLbl>
              <c:idx val="5"/>
              <c:layout>
                <c:manualLayout>
                  <c:x val="5.1094189275847409E-3"/>
                  <c:y val="-4.8484856898524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A6-4FA6-903C-B115C051D7B1}"/>
                </c:ext>
              </c:extLst>
            </c:dLbl>
            <c:dLbl>
              <c:idx val="8"/>
              <c:layout>
                <c:manualLayout>
                  <c:x val="1.4947420297785998E-3"/>
                  <c:y val="1.55507143428206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A6-4FA6-903C-B115C051D7B1}"/>
                </c:ext>
              </c:extLst>
            </c:dLbl>
            <c:dLbl>
              <c:idx val="9"/>
              <c:layout>
                <c:manualLayout>
                  <c:x val="-3.5557126482985683E-4"/>
                  <c:y val="1.5537077459885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A6-4FA6-903C-B115C051D7B1}"/>
                </c:ext>
              </c:extLst>
            </c:dLbl>
            <c:dLbl>
              <c:idx val="10"/>
              <c:layout>
                <c:manualLayout>
                  <c:x val="-3.8461538461538464E-3"/>
                  <c:y val="-1.3223142790506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A6-4FA6-903C-B115C051D7B1}"/>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[1]Sheet1!$A$8:$A$21</c15:sqref>
                  </c15:fullRef>
                </c:ext>
              </c:extLst>
              <c:f>[1]Sheet1!$A$8:$A$20</c:f>
              <c:strCache>
                <c:ptCount val="13"/>
                <c:pt idx="0">
                  <c:v>Auction #1 Feb 2023</c:v>
                </c:pt>
                <c:pt idx="1">
                  <c:v>Auction #2 May 2023</c:v>
                </c:pt>
                <c:pt idx="2">
                  <c:v>APCR #1     Aug 2023</c:v>
                </c:pt>
                <c:pt idx="3">
                  <c:v>Auction #3 Aug 2023</c:v>
                </c:pt>
                <c:pt idx="4">
                  <c:v>APCR #2   Nov 2023</c:v>
                </c:pt>
                <c:pt idx="5">
                  <c:v>Auction #4 Dec 2023</c:v>
                </c:pt>
                <c:pt idx="6">
                  <c:v>Auction #5 Mar 2024</c:v>
                </c:pt>
                <c:pt idx="7">
                  <c:v>Auction #6  Jun 2024</c:v>
                </c:pt>
                <c:pt idx="8">
                  <c:v>Auction #7 Sep 2024</c:v>
                </c:pt>
                <c:pt idx="9">
                  <c:v>APCR #3     C24 Oct 2024</c:v>
                </c:pt>
                <c:pt idx="10">
                  <c:v>Auction #8 Dec 2024</c:v>
                </c:pt>
                <c:pt idx="11">
                  <c:v>Auction #9 Mar 2025</c:v>
                </c:pt>
                <c:pt idx="12">
                  <c:v>Auction #10 Jun 2025</c:v>
                </c:pt>
              </c:strCache>
            </c:strRef>
          </c:cat>
          <c:val>
            <c:numRef>
              <c:extLst>
                <c:ext xmlns:c15="http://schemas.microsoft.com/office/drawing/2012/chart" uri="{02D57815-91ED-43cb-92C2-25804820EDAC}">
                  <c15:fullRef>
                    <c15:sqref>[1]Sheet1!$W$8:$W$21</c15:sqref>
                  </c15:fullRef>
                </c:ext>
              </c:extLst>
              <c:f>[1]Sheet1!$W$8:$W$20</c:f>
              <c:numCache>
                <c:formatCode>General</c:formatCode>
                <c:ptCount val="13"/>
                <c:pt idx="0">
                  <c:v>299983267</c:v>
                </c:pt>
                <c:pt idx="1">
                  <c:v>557089850</c:v>
                </c:pt>
                <c:pt idx="2">
                  <c:v>62491660</c:v>
                </c:pt>
                <c:pt idx="3">
                  <c:v>356601742.53000003</c:v>
                </c:pt>
                <c:pt idx="4">
                  <c:v>259500000</c:v>
                </c:pt>
                <c:pt idx="5">
                  <c:v>288857811.94999999</c:v>
                </c:pt>
                <c:pt idx="6">
                  <c:v>135497600</c:v>
                </c:pt>
                <c:pt idx="7">
                  <c:v>189013540</c:v>
                </c:pt>
                <c:pt idx="8">
                  <c:v>157168800</c:v>
                </c:pt>
                <c:pt idx="9">
                  <c:v>57395520</c:v>
                </c:pt>
                <c:pt idx="10">
                  <c:v>271689818.45999998</c:v>
                </c:pt>
                <c:pt idx="11">
                  <c:v>230000000</c:v>
                </c:pt>
                <c:pt idx="12">
                  <c:v>322366000</c:v>
                </c:pt>
              </c:numCache>
            </c:numRef>
          </c:val>
          <c:extLst>
            <c:ext xmlns:c16="http://schemas.microsoft.com/office/drawing/2014/chart" uri="{C3380CC4-5D6E-409C-BE32-E72D297353CC}">
              <c16:uniqueId val="{00000008-8FA6-4FA6-903C-B115C051D7B1}"/>
            </c:ext>
          </c:extLst>
        </c:ser>
        <c:dLbls>
          <c:showLegendKey val="0"/>
          <c:showVal val="0"/>
          <c:showCatName val="0"/>
          <c:showSerName val="0"/>
          <c:showPercent val="0"/>
          <c:showBubbleSize val="0"/>
        </c:dLbls>
        <c:gapWidth val="269"/>
        <c:overlap val="-27"/>
        <c:axId val="793022415"/>
        <c:axId val="793024815"/>
      </c:barChart>
      <c:lineChart>
        <c:grouping val="standard"/>
        <c:varyColors val="0"/>
        <c:ser>
          <c:idx val="1"/>
          <c:order val="1"/>
          <c:tx>
            <c:v>Cumulative State Revenue</c:v>
          </c:tx>
          <c:spPr>
            <a:ln w="28575" cap="rnd">
              <a:solidFill>
                <a:schemeClr val="accent5"/>
              </a:solidFill>
              <a:round/>
            </a:ln>
            <a:effectLst/>
          </c:spPr>
          <c:marker>
            <c:symbol val="none"/>
          </c:marker>
          <c:dLbls>
            <c:dLbl>
              <c:idx val="1"/>
              <c:layout>
                <c:manualLayout>
                  <c:x val="9.2670186276361342E-3"/>
                  <c:y val="-7.90530564276982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A6-4FA6-903C-B115C051D7B1}"/>
                </c:ext>
              </c:extLst>
            </c:dLbl>
            <c:dLbl>
              <c:idx val="7"/>
              <c:layout>
                <c:manualLayout>
                  <c:x val="-3.8088109910953703E-2"/>
                  <c:y val="-5.5601064664155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A6-4FA6-903C-B115C051D7B1}"/>
                </c:ext>
              </c:extLst>
            </c:dLbl>
            <c:dLbl>
              <c:idx val="12"/>
              <c:layout>
                <c:manualLayout>
                  <c:x val="-4.3694954688789825E-2"/>
                  <c:y val="-3.0749771555340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A6-4FA6-903C-B115C051D7B1}"/>
                </c:ext>
              </c:extLst>
            </c:dLbl>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3"/>
              <c:pt idx="0">
                <c:v>1</c:v>
              </c:pt>
              <c:pt idx="1">
                <c:v>2</c:v>
              </c:pt>
              <c:pt idx="2">
                <c:v>3</c:v>
              </c:pt>
              <c:pt idx="3">
                <c:v>4</c:v>
              </c:pt>
              <c:pt idx="4">
                <c:v>5</c:v>
              </c:pt>
              <c:pt idx="5">
                <c:v>6</c:v>
              </c:pt>
              <c:pt idx="6">
                <c:v>7</c:v>
              </c:pt>
              <c:pt idx="7">
                <c:v>8</c:v>
              </c:pt>
              <c:pt idx="8">
                <c:v>9</c:v>
              </c:pt>
              <c:pt idx="9">
                <c:v>10</c:v>
              </c:pt>
              <c:pt idx="10">
                <c:v>11</c:v>
              </c:pt>
              <c:pt idx="11">
                <c:v>12</c:v>
              </c:pt>
              <c:pt idx="12">
                <c:v>13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[1]Sheet1!$X$8:$X$20</c15:sqref>
                  </c15:fullRef>
                </c:ext>
              </c:extLst>
              <c:f>[1]Sheet1!$X$8:$X$20</c:f>
              <c:numCache>
                <c:formatCode>General</c:formatCode>
                <c:ptCount val="13"/>
                <c:pt idx="0">
                  <c:v>299983267</c:v>
                </c:pt>
                <c:pt idx="1">
                  <c:v>857073117</c:v>
                </c:pt>
                <c:pt idx="2">
                  <c:v>919564777</c:v>
                </c:pt>
                <c:pt idx="3">
                  <c:v>1276166519.53</c:v>
                </c:pt>
                <c:pt idx="4">
                  <c:v>1535666519.53</c:v>
                </c:pt>
                <c:pt idx="5">
                  <c:v>1824524331.48</c:v>
                </c:pt>
                <c:pt idx="6">
                  <c:v>1960021931.48</c:v>
                </c:pt>
                <c:pt idx="7">
                  <c:v>2149035471.48</c:v>
                </c:pt>
                <c:pt idx="8">
                  <c:v>2306204271.48</c:v>
                </c:pt>
                <c:pt idx="9">
                  <c:v>2363599791.48</c:v>
                </c:pt>
                <c:pt idx="10">
                  <c:v>2635289609.9400001</c:v>
                </c:pt>
                <c:pt idx="11">
                  <c:v>2865289609.9400001</c:v>
                </c:pt>
                <c:pt idx="12">
                  <c:v>3187655609.9400001</c:v>
                </c:pt>
              </c:numCache>
            </c:numRef>
          </c:val>
          <c:smooth val="0"/>
          <c:extLst>
            <c:ext xmlns:c16="http://schemas.microsoft.com/office/drawing/2014/chart" uri="{C3380CC4-5D6E-409C-BE32-E72D297353CC}">
              <c16:uniqueId val="{0000000B-8FA6-4FA6-903C-B115C051D7B1}"/>
            </c:ext>
          </c:extLst>
        </c:ser>
        <c:dLbls>
          <c:showLegendKey val="0"/>
          <c:showVal val="0"/>
          <c:showCatName val="0"/>
          <c:showSerName val="0"/>
          <c:showPercent val="0"/>
          <c:showBubbleSize val="0"/>
        </c:dLbls>
        <c:marker val="1"/>
        <c:smooth val="0"/>
        <c:axId val="433618160"/>
        <c:axId val="433620560"/>
      </c:lineChart>
      <c:catAx>
        <c:axId val="793022415"/>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solidFill>
                      <a:sysClr val="windowText" lastClr="000000"/>
                    </a:solidFill>
                  </a:rPr>
                  <a:t>Auction name</a:t>
                </a:r>
                <a:r>
                  <a:rPr lang="en-US" sz="1200" baseline="0">
                    <a:solidFill>
                      <a:sysClr val="windowText" lastClr="000000"/>
                    </a:solidFill>
                  </a:rPr>
                  <a:t> and date of auction</a:t>
                </a:r>
                <a:endParaRPr lang="en-US" sz="1200">
                  <a:solidFill>
                    <a:sysClr val="windowText" lastClr="000000"/>
                  </a:solidFill>
                </a:endParaRPr>
              </a:p>
            </c:rich>
          </c:tx>
          <c:layout>
            <c:manualLayout>
              <c:xMode val="edge"/>
              <c:yMode val="edge"/>
              <c:x val="0.40221603202904882"/>
              <c:y val="0.8706757880551896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93024815"/>
        <c:crosses val="autoZero"/>
        <c:auto val="1"/>
        <c:lblAlgn val="ctr"/>
        <c:lblOffset val="100"/>
        <c:noMultiLvlLbl val="0"/>
      </c:catAx>
      <c:valAx>
        <c:axId val="7930248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Actual</a:t>
                </a:r>
                <a:r>
                  <a:rPr lang="en-US" sz="1200" baseline="0"/>
                  <a:t> </a:t>
                </a:r>
                <a:r>
                  <a:rPr lang="en-US" sz="1200"/>
                  <a:t>State</a:t>
                </a:r>
                <a:r>
                  <a:rPr lang="en-US" sz="1200" baseline="0"/>
                  <a:t> Revenue by Auction</a:t>
                </a:r>
                <a:endParaRPr 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409]* #,##0_);_([$$-409]* \(#,##0\);_([$$-409]* &quot;-&quot;_);_(@_)"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93022415"/>
        <c:crosses val="autoZero"/>
        <c:crossBetween val="between"/>
      </c:valAx>
      <c:valAx>
        <c:axId val="433620560"/>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Actual</a:t>
                </a:r>
                <a:r>
                  <a:rPr lang="en-US" sz="1200" baseline="0"/>
                  <a:t> </a:t>
                </a:r>
                <a:r>
                  <a:rPr lang="en-US" sz="1200"/>
                  <a:t>Cumulative State Revenue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409]* #,##0_);_([$$-409]* \(#,##0\);_([$$-409]* &quot;-&quot;_);_(@_)"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33618160"/>
        <c:crosses val="max"/>
        <c:crossBetween val="between"/>
      </c:valAx>
      <c:catAx>
        <c:axId val="433618160"/>
        <c:scaling>
          <c:orientation val="minMax"/>
        </c:scaling>
        <c:delete val="1"/>
        <c:axPos val="b"/>
        <c:majorTickMark val="none"/>
        <c:minorTickMark val="none"/>
        <c:tickLblPos val="nextTo"/>
        <c:crossAx val="4336205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532278</xdr:colOff>
      <xdr:row>5</xdr:row>
      <xdr:rowOff>56031</xdr:rowOff>
    </xdr:from>
    <xdr:to>
      <xdr:col>20</xdr:col>
      <xdr:colOff>381000</xdr:colOff>
      <xdr:row>25</xdr:row>
      <xdr:rowOff>56031</xdr:rowOff>
    </xdr:to>
    <xdr:graphicFrame macro="">
      <xdr:nvGraphicFramePr>
        <xdr:cNvPr id="2" name="Chart 1" descr="Bar chart showing a comparison of auction revenue forecast by fiscal year between the current June 2025 forecast and the previous December 2024 forecast.">
          <a:extLst>
            <a:ext uri="{FF2B5EF4-FFF2-40B4-BE49-F238E27FC236}">
              <a16:creationId xmlns:a16="http://schemas.microsoft.com/office/drawing/2014/main" id="{49452E20-12CA-2034-99E7-A885F2C725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0.03807</cdr:x>
      <cdr:y>0.89365</cdr:y>
    </cdr:from>
    <cdr:to>
      <cdr:x>0.13835</cdr:x>
      <cdr:y>0.96677</cdr:y>
    </cdr:to>
    <cdr:sp macro="" textlink="">
      <cdr:nvSpPr>
        <cdr:cNvPr id="2" name="TextBox 1">
          <a:extLst xmlns:a="http://schemas.openxmlformats.org/drawingml/2006/main">
            <a:ext uri="{FF2B5EF4-FFF2-40B4-BE49-F238E27FC236}">
              <a16:creationId xmlns:a16="http://schemas.microsoft.com/office/drawing/2014/main" id="{CF2CC917-7402-5217-CC9B-DF237FF66D90}"/>
            </a:ext>
          </a:extLst>
        </cdr:cNvPr>
        <cdr:cNvSpPr txBox="1"/>
      </cdr:nvSpPr>
      <cdr:spPr>
        <a:xfrm xmlns:a="http://schemas.openxmlformats.org/drawingml/2006/main">
          <a:off x="229722" y="3013263"/>
          <a:ext cx="605118" cy="246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0.02507</cdr:x>
      <cdr:y>0.89711</cdr:y>
    </cdr:from>
    <cdr:to>
      <cdr:x>0.22934</cdr:x>
      <cdr:y>0.97714</cdr:y>
    </cdr:to>
    <cdr:sp macro="" textlink="">
      <cdr:nvSpPr>
        <cdr:cNvPr id="3" name="TextBox 2">
          <a:extLst xmlns:a="http://schemas.openxmlformats.org/drawingml/2006/main">
            <a:ext uri="{FF2B5EF4-FFF2-40B4-BE49-F238E27FC236}">
              <a16:creationId xmlns:a16="http://schemas.microsoft.com/office/drawing/2014/main" id="{217BB06E-D1BB-966C-CDEC-3885436D386D}"/>
            </a:ext>
          </a:extLst>
        </cdr:cNvPr>
        <cdr:cNvSpPr txBox="1"/>
      </cdr:nvSpPr>
      <cdr:spPr>
        <a:xfrm xmlns:a="http://schemas.openxmlformats.org/drawingml/2006/main">
          <a:off x="151281" y="3517528"/>
          <a:ext cx="1232647" cy="3137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0.02887</cdr:x>
      <cdr:y>0.89008</cdr:y>
    </cdr:from>
    <cdr:to>
      <cdr:x>0.31754</cdr:x>
      <cdr:y>0.99464</cdr:y>
    </cdr:to>
    <cdr:sp macro="" textlink="">
      <cdr:nvSpPr>
        <cdr:cNvPr id="4" name="TextBox 3">
          <a:extLst xmlns:a="http://schemas.openxmlformats.org/drawingml/2006/main">
            <a:ext uri="{FF2B5EF4-FFF2-40B4-BE49-F238E27FC236}">
              <a16:creationId xmlns:a16="http://schemas.microsoft.com/office/drawing/2014/main" id="{3B246720-AC43-DAEA-AC38-7FD8EC046218}"/>
            </a:ext>
          </a:extLst>
        </cdr:cNvPr>
        <cdr:cNvSpPr txBox="1"/>
      </cdr:nvSpPr>
      <cdr:spPr>
        <a:xfrm xmlns:a="http://schemas.openxmlformats.org/drawingml/2006/main">
          <a:off x="218516" y="3720352"/>
          <a:ext cx="2185147" cy="4370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i="1" kern="1200"/>
            <a:t>FY25 in June Forecast</a:t>
          </a:r>
          <a:r>
            <a:rPr lang="en-US" sz="1100" i="1" kern="1200" baseline="0"/>
            <a:t> represents actual revenue, rest are estimates</a:t>
          </a:r>
          <a:endParaRPr lang="en-US" sz="1100" i="1" kern="1200"/>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152697</xdr:colOff>
      <xdr:row>59</xdr:row>
      <xdr:rowOff>26431</xdr:rowOff>
    </xdr:from>
    <xdr:to>
      <xdr:col>4</xdr:col>
      <xdr:colOff>374597</xdr:colOff>
      <xdr:row>68</xdr:row>
      <xdr:rowOff>182495</xdr:rowOff>
    </xdr:to>
    <xdr:sp macro="" textlink="">
      <xdr:nvSpPr>
        <xdr:cNvPr id="2" name="TextBox 1">
          <a:extLst>
            <a:ext uri="{FF2B5EF4-FFF2-40B4-BE49-F238E27FC236}">
              <a16:creationId xmlns:a16="http://schemas.microsoft.com/office/drawing/2014/main" id="{32EE651D-2C70-B128-F27D-8DA3CD73668A}"/>
            </a:ext>
          </a:extLst>
        </xdr:cNvPr>
        <xdr:cNvSpPr txBox="1"/>
      </xdr:nvSpPr>
      <xdr:spPr>
        <a:xfrm>
          <a:off x="5643579" y="11826225"/>
          <a:ext cx="2743224" cy="1881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Table</a:t>
          </a:r>
          <a:r>
            <a:rPr lang="en-US" sz="1100" baseline="0"/>
            <a:t> 6 and Table 7 forecasted proceeds will not produce a straight average (arithmetic mean) in Table 5, due to the rate of increase in forecasted settlement prices growing at an exponential, rather than linear, rate. This is expected.</a:t>
          </a:r>
        </a:p>
        <a:p>
          <a:endParaRPr lang="en-US" sz="1100" baseline="0"/>
        </a:p>
        <a:p>
          <a:r>
            <a:rPr lang="en-US" sz="1100" baseline="0"/>
            <a:t>FY2025 values match in each scenario because A#10, June 2025, was the final auction of FY2025.</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91352</xdr:colOff>
      <xdr:row>203</xdr:row>
      <xdr:rowOff>179294</xdr:rowOff>
    </xdr:from>
    <xdr:to>
      <xdr:col>10</xdr:col>
      <xdr:colOff>661146</xdr:colOff>
      <xdr:row>210</xdr:row>
      <xdr:rowOff>179293</xdr:rowOff>
    </xdr:to>
    <xdr:sp macro="" textlink="">
      <xdr:nvSpPr>
        <xdr:cNvPr id="2" name="TextBox 1">
          <a:extLst>
            <a:ext uri="{FF2B5EF4-FFF2-40B4-BE49-F238E27FC236}">
              <a16:creationId xmlns:a16="http://schemas.microsoft.com/office/drawing/2014/main" id="{96BC573D-45A1-1624-A7FB-B600335AE7AB}"/>
            </a:ext>
          </a:extLst>
        </xdr:cNvPr>
        <xdr:cNvSpPr txBox="1"/>
      </xdr:nvSpPr>
      <xdr:spPr>
        <a:xfrm>
          <a:off x="8675058" y="42582353"/>
          <a:ext cx="221705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High scenario, beginning with A#14, the allowance</a:t>
          </a:r>
          <a:r>
            <a:rPr lang="en-US" sz="1100" baseline="0"/>
            <a:t> </a:t>
          </a:r>
          <a:r>
            <a:rPr lang="en-US" sz="1100"/>
            <a:t>price </a:t>
          </a:r>
          <a:r>
            <a:rPr lang="en-US" sz="1100" b="0" i="0">
              <a:solidFill>
                <a:schemeClr val="dk1"/>
              </a:solidFill>
              <a:effectLst/>
              <a:latin typeface="+mn-lt"/>
              <a:ea typeface="+mn-ea"/>
              <a:cs typeface="+mn-cs"/>
            </a:rPr>
            <a:t>increase each quarter at an annual 5% plus the rate of inflation (2.9%),</a:t>
          </a:r>
          <a:r>
            <a:rPr lang="en-US" sz="1100" b="0" i="0" baseline="0">
              <a:solidFill>
                <a:schemeClr val="dk1"/>
              </a:solidFill>
              <a:effectLst/>
              <a:latin typeface="+mn-lt"/>
              <a:ea typeface="+mn-ea"/>
              <a:cs typeface="+mn-cs"/>
            </a:rPr>
            <a:t> </a:t>
          </a:r>
          <a:r>
            <a:rPr lang="en-US" sz="1100"/>
            <a:t>based on the average</a:t>
          </a:r>
          <a:r>
            <a:rPr lang="en-US" sz="1100" baseline="0"/>
            <a:t> </a:t>
          </a:r>
          <a:r>
            <a:rPr lang="en-US" sz="1100"/>
            <a:t>settlement price from Table 2.</a:t>
          </a:r>
        </a:p>
        <a:p>
          <a:r>
            <a:rPr lang="en-US" sz="1100"/>
            <a:t>$58.40*(1.05+.029) = $63.01 </a:t>
          </a:r>
        </a:p>
      </xdr:txBody>
    </xdr:sp>
    <xdr:clientData/>
  </xdr:twoCellAnchor>
  <xdr:twoCellAnchor>
    <xdr:from>
      <xdr:col>8</xdr:col>
      <xdr:colOff>51935</xdr:colOff>
      <xdr:row>119</xdr:row>
      <xdr:rowOff>44800</xdr:rowOff>
    </xdr:from>
    <xdr:to>
      <xdr:col>10</xdr:col>
      <xdr:colOff>369794</xdr:colOff>
      <xdr:row>126</xdr:row>
      <xdr:rowOff>179295</xdr:rowOff>
    </xdr:to>
    <xdr:sp macro="" textlink="">
      <xdr:nvSpPr>
        <xdr:cNvPr id="3" name="TextBox 2">
          <a:extLst>
            <a:ext uri="{FF2B5EF4-FFF2-40B4-BE49-F238E27FC236}">
              <a16:creationId xmlns:a16="http://schemas.microsoft.com/office/drawing/2014/main" id="{ADF90CCA-305D-64CB-F4C3-08D772290C9E}"/>
            </a:ext>
          </a:extLst>
        </xdr:cNvPr>
        <xdr:cNvSpPr txBox="1"/>
      </xdr:nvSpPr>
      <xdr:spPr>
        <a:xfrm>
          <a:off x="8635641" y="25571800"/>
          <a:ext cx="1965124" cy="1467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Low scenario, the estimated settlement prices for WA A#11, 12, 13 are based Low scenario price in Table 2, </a:t>
          </a:r>
          <a:r>
            <a:rPr lang="en-US" sz="1100" b="0" i="0">
              <a:solidFill>
                <a:schemeClr val="dk1"/>
              </a:solidFill>
              <a:effectLst/>
              <a:latin typeface="+mn-lt"/>
              <a:ea typeface="+mn-ea"/>
              <a:cs typeface="+mn-cs"/>
            </a:rPr>
            <a:t>increasing each quarter at an annual 5% plus the rate of inflation (2.9%).</a:t>
          </a:r>
        </a:p>
        <a:p>
          <a:r>
            <a:rPr lang="en-US" sz="1100"/>
            <a:t>$29.32 * (1.05+.029) = $31.64)</a:t>
          </a:r>
        </a:p>
      </xdr:txBody>
    </xdr:sp>
    <xdr:clientData/>
  </xdr:twoCellAnchor>
  <xdr:twoCellAnchor>
    <xdr:from>
      <xdr:col>8</xdr:col>
      <xdr:colOff>120025</xdr:colOff>
      <xdr:row>31</xdr:row>
      <xdr:rowOff>112058</xdr:rowOff>
    </xdr:from>
    <xdr:to>
      <xdr:col>10</xdr:col>
      <xdr:colOff>515471</xdr:colOff>
      <xdr:row>40</xdr:row>
      <xdr:rowOff>155420</xdr:rowOff>
    </xdr:to>
    <xdr:sp macro="" textlink="">
      <xdr:nvSpPr>
        <xdr:cNvPr id="4" name="TextBox 3">
          <a:extLst>
            <a:ext uri="{FF2B5EF4-FFF2-40B4-BE49-F238E27FC236}">
              <a16:creationId xmlns:a16="http://schemas.microsoft.com/office/drawing/2014/main" id="{0DC2791B-2268-FDEB-A8CD-56FE05A64C21}"/>
            </a:ext>
          </a:extLst>
        </xdr:cNvPr>
        <xdr:cNvSpPr txBox="1"/>
      </xdr:nvSpPr>
      <xdr:spPr>
        <a:xfrm>
          <a:off x="8703731" y="7956176"/>
          <a:ext cx="2042711" cy="1757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ysClr val="windowText" lastClr="000000"/>
              </a:solidFill>
              <a:effectLst/>
              <a:latin typeface="+mn-lt"/>
              <a:ea typeface="+mn-ea"/>
              <a:cs typeface="+mn-cs"/>
            </a:rPr>
            <a:t> In the Baseline forecast, the baseline price is calculated in "Allowance Price Tables" Table. Succesive allownaces</a:t>
          </a:r>
          <a:r>
            <a:rPr lang="en-US" sz="1100" b="0" i="0" u="none" strike="noStrike" baseline="0">
              <a:solidFill>
                <a:sysClr val="windowText" lastClr="000000"/>
              </a:solidFill>
              <a:effectLst/>
              <a:latin typeface="+mn-lt"/>
              <a:ea typeface="+mn-ea"/>
              <a:cs typeface="+mn-cs"/>
            </a:rPr>
            <a:t> </a:t>
          </a:r>
          <a:r>
            <a:rPr lang="en-US" sz="1100" b="0" i="0" u="none" strike="noStrike">
              <a:solidFill>
                <a:sysClr val="windowText" lastClr="000000"/>
              </a:solidFill>
              <a:effectLst/>
              <a:latin typeface="+mn-lt"/>
              <a:ea typeface="+mn-ea"/>
              <a:cs typeface="+mn-cs"/>
            </a:rPr>
            <a:t>prices are</a:t>
          </a:r>
          <a:r>
            <a:rPr lang="en-US" sz="1100" b="0" i="0" u="none" strike="noStrike" baseline="0">
              <a:solidFill>
                <a:sysClr val="windowText" lastClr="000000"/>
              </a:solidFill>
              <a:effectLst/>
              <a:latin typeface="+mn-lt"/>
              <a:ea typeface="+mn-ea"/>
              <a:cs typeface="+mn-cs"/>
            </a:rPr>
            <a:t> based on</a:t>
          </a:r>
          <a:r>
            <a:rPr lang="en-US" sz="1100" b="0" i="0" u="none" strike="noStrike">
              <a:solidFill>
                <a:sysClr val="windowText" lastClr="000000"/>
              </a:solidFill>
              <a:effectLst/>
              <a:latin typeface="+mn-lt"/>
              <a:ea typeface="+mn-ea"/>
              <a:cs typeface="+mn-cs"/>
            </a:rPr>
            <a:t> $43.86, increasing each quarter at an annual 5% plus the rate of inflation (2.9%),</a:t>
          </a:r>
          <a:r>
            <a:rPr lang="en-US" sz="1100" b="0" i="0" u="none" strike="noStrike" baseline="0">
              <a:solidFill>
                <a:sysClr val="windowText" lastClr="000000"/>
              </a:solidFill>
              <a:effectLst/>
              <a:latin typeface="+mn-lt"/>
              <a:ea typeface="+mn-ea"/>
              <a:cs typeface="+mn-cs"/>
            </a:rPr>
            <a:t> starting with A#14. ($43.86*(1.05+.029)=$47.32)</a:t>
          </a:r>
        </a:p>
        <a:p>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25104</xdr:colOff>
      <xdr:row>39</xdr:row>
      <xdr:rowOff>65561</xdr:rowOff>
    </xdr:from>
    <xdr:to>
      <xdr:col>11</xdr:col>
      <xdr:colOff>384710</xdr:colOff>
      <xdr:row>69</xdr:row>
      <xdr:rowOff>116496</xdr:rowOff>
    </xdr:to>
    <xdr:graphicFrame macro="">
      <xdr:nvGraphicFramePr>
        <xdr:cNvPr id="3" name="Chart 2" descr="Bar chart of auction revenue, with verticals bars for each quarterly auction or APCR event, and a blue line increasing from left to right showing cumulative state revenue over time.">
          <a:extLst>
            <a:ext uri="{FF2B5EF4-FFF2-40B4-BE49-F238E27FC236}">
              <a16:creationId xmlns:a16="http://schemas.microsoft.com/office/drawing/2014/main" id="{22735B18-0BB3-4156-B9EC-75E021945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tateofwa.sharepoint.com/sites/ECY-CPR-AuctionsandMarketStaff/Shared%20Documents/General/Auction%20Documents,%20Data,%20Downloads/Other%20Auction%20Related%20Files_Internal/FAQ_Explainers/Auction%20Supply%20Info/All%20Auction%20Data_2025_June.xlsx" TargetMode="External"/><Relationship Id="rId2" Type="http://schemas.microsoft.com/office/2019/04/relationships/externalLinkLongPath" Target="/sites/ECY-CPR-AuctionsandMarketStaff/Shared%20Documents/General/Auction%20Documents,%20Data,%20Downloads/Other%20Auction%20Related%20Files_Internal/FAQ_Explainers/Auction%20Supply%20Info/All%20Auction%20Data_2025_June.xlsx?B7A46DC9" TargetMode="External"/><Relationship Id="rId1" Type="http://schemas.openxmlformats.org/officeDocument/2006/relationships/externalLinkPath" Target="file:///\\B7A46DC9\All%20Auction%20Data_2025_Ju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heet1"/>
      <sheetName val="Sheet2"/>
      <sheetName val="Sheet3"/>
    </sheetNames>
    <sheetDataSet>
      <sheetData sheetId="0">
        <row r="8">
          <cell r="A8" t="str">
            <v>Auction #1 Feb 2023</v>
          </cell>
          <cell r="W8">
            <v>299983267</v>
          </cell>
          <cell r="X8">
            <v>299983267</v>
          </cell>
        </row>
        <row r="9">
          <cell r="A9" t="str">
            <v>Auction #2 May 2023</v>
          </cell>
          <cell r="W9">
            <v>557089850</v>
          </cell>
          <cell r="X9">
            <v>857073117</v>
          </cell>
        </row>
        <row r="10">
          <cell r="A10" t="str">
            <v>APCR #1     Aug 2023</v>
          </cell>
          <cell r="W10">
            <v>62491660</v>
          </cell>
          <cell r="X10">
            <v>919564777</v>
          </cell>
        </row>
        <row r="11">
          <cell r="A11" t="str">
            <v>Auction #3 Aug 2023</v>
          </cell>
          <cell r="W11">
            <v>356601742.53000003</v>
          </cell>
          <cell r="X11">
            <v>1276166519.53</v>
          </cell>
        </row>
        <row r="12">
          <cell r="A12" t="str">
            <v>APCR #2   Nov 2023</v>
          </cell>
          <cell r="W12">
            <v>259500000</v>
          </cell>
          <cell r="X12">
            <v>1535666519.53</v>
          </cell>
        </row>
        <row r="13">
          <cell r="A13" t="str">
            <v>Auction #4 Dec 2023</v>
          </cell>
          <cell r="W13">
            <v>288857811.94999999</v>
          </cell>
          <cell r="X13">
            <v>1824524331.48</v>
          </cell>
        </row>
        <row r="14">
          <cell r="A14" t="str">
            <v>Auction #5 Mar 2024</v>
          </cell>
          <cell r="W14">
            <v>135497600</v>
          </cell>
          <cell r="X14">
            <v>1960021931.48</v>
          </cell>
        </row>
        <row r="15">
          <cell r="A15" t="str">
            <v>Auction #6  Jun 2024</v>
          </cell>
          <cell r="W15">
            <v>189013540</v>
          </cell>
          <cell r="X15">
            <v>2149035471.48</v>
          </cell>
        </row>
        <row r="16">
          <cell r="A16" t="str">
            <v>Auction #7 Sep 2024</v>
          </cell>
          <cell r="W16">
            <v>157168800</v>
          </cell>
          <cell r="X16">
            <v>2306204271.48</v>
          </cell>
        </row>
        <row r="17">
          <cell r="A17" t="str">
            <v>APCR #3     C24 Oct 2024</v>
          </cell>
          <cell r="W17">
            <v>57395520</v>
          </cell>
          <cell r="X17">
            <v>2363599791.48</v>
          </cell>
        </row>
        <row r="18">
          <cell r="A18" t="str">
            <v>Auction #8 Dec 2024</v>
          </cell>
          <cell r="W18">
            <v>271689818.45999998</v>
          </cell>
          <cell r="X18">
            <v>2635289609.9400001</v>
          </cell>
        </row>
        <row r="19">
          <cell r="A19" t="str">
            <v>Auction #9 Mar 2025</v>
          </cell>
          <cell r="W19">
            <v>230000000</v>
          </cell>
          <cell r="X19">
            <v>2865289609.9400001</v>
          </cell>
        </row>
        <row r="20">
          <cell r="A20" t="str">
            <v>Auction #10 Jun 2025</v>
          </cell>
          <cell r="W20">
            <v>322366000</v>
          </cell>
          <cell r="X20">
            <v>3187655609.9400001</v>
          </cell>
        </row>
        <row r="21">
          <cell r="A21" t="str">
            <v>Auction #11 Sep 2025</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A8805F-92AA-4D74-97D9-577EC099AADF}" name="Table1" displayName="Table1" ref="J6:M13" totalsRowShown="0" headerRowDxfId="6" dataDxfId="4" headerRowBorderDxfId="5" tableBorderDxfId="3" dataCellStyle="Currency">
  <autoFilter ref="J6:M13" xr:uid="{5CA8805F-92AA-4D74-97D9-577EC099AADF}"/>
  <tableColumns count="4">
    <tableColumn id="1" xr3:uid="{A1DDF81D-5C9E-4084-BCAE-420B1AD9A81E}" name="Fiscal Year"/>
    <tableColumn id="2" xr3:uid="{64B06404-9D51-40E0-A982-668EFA1DCB19}" name="Baseline (Avg CA/QC + WA)" dataDxfId="2" dataCellStyle="Currency"/>
    <tableColumn id="3" xr3:uid="{8779A479-7E21-473C-BD3F-C20CD81FB595}" name="Low (CA/QC Avg)" dataDxfId="1" dataCellStyle="Currency"/>
    <tableColumn id="4" xr3:uid="{88E10D20-9844-4A05-AF47-51CA3673BDFB}" name="High (WA Price Avg)"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ecology.wa.gov/publications/UIPages/PublicationList.aspx?IndexTypeName=Topic&amp;NameValue=Cap-and-Invest+%e2%80%94+Market+Reports&amp;DocumentTypeName=Publication" TargetMode="External"/><Relationship Id="rId1" Type="http://schemas.openxmlformats.org/officeDocument/2006/relationships/hyperlink" Target="https://ww2.arb.ca.gov/sites/default/files/2020-08/results_summary.pdf" TargetMode="Externa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view.officeapps.live.com/op/view.aspx?src=https%3A%2F%2Fapps.ecology.wa.gov%2Fpublications%2Fothersupplements%2F2302031other.xlsx&amp;wdOrigin=BROWSELINK" TargetMode="External"/><Relationship Id="rId1" Type="http://schemas.openxmlformats.org/officeDocument/2006/relationships/hyperlink" Target="https://content.govdelivery.com/accounts/WAECY/bulletins/37da88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4404D-8566-40E9-9B67-13EBA071A8E6}">
  <dimension ref="A1:L29"/>
  <sheetViews>
    <sheetView showGridLines="0" tabSelected="1" zoomScale="85" zoomScaleNormal="85" workbookViewId="0">
      <selection activeCell="W6" sqref="W6"/>
    </sheetView>
  </sheetViews>
  <sheetFormatPr defaultRowHeight="15" x14ac:dyDescent="0.25"/>
  <cols>
    <col min="1" max="1" width="21.42578125" bestFit="1" customWidth="1"/>
    <col min="2" max="2" width="15.7109375" customWidth="1"/>
    <col min="3" max="3" width="15.28515625" bestFit="1" customWidth="1"/>
    <col min="4" max="6" width="13.7109375" bestFit="1" customWidth="1"/>
    <col min="7" max="7" width="14.28515625" customWidth="1"/>
    <col min="9" max="9" width="14.5703125" customWidth="1"/>
    <col min="10" max="10" width="10.28515625" bestFit="1" customWidth="1"/>
    <col min="11" max="11" width="7.28515625" customWidth="1"/>
    <col min="12" max="12" width="9.140625" hidden="1" customWidth="1"/>
    <col min="14" max="15" width="10.140625" bestFit="1" customWidth="1"/>
  </cols>
  <sheetData>
    <row r="1" spans="1:10" ht="21" x14ac:dyDescent="0.35">
      <c r="A1" s="1" t="s">
        <v>206</v>
      </c>
    </row>
    <row r="2" spans="1:10" x14ac:dyDescent="0.25">
      <c r="A2" s="65">
        <v>45835</v>
      </c>
      <c r="B2" s="108" t="s">
        <v>148</v>
      </c>
      <c r="C2" s="5"/>
      <c r="D2" s="5"/>
      <c r="E2" s="5"/>
      <c r="F2" s="52"/>
      <c r="G2" s="5"/>
    </row>
    <row r="3" spans="1:10" ht="52.5" customHeight="1" x14ac:dyDescent="0.25">
      <c r="A3" s="247" t="s">
        <v>163</v>
      </c>
      <c r="B3" s="247"/>
      <c r="C3" s="247"/>
      <c r="D3" s="247"/>
      <c r="E3" s="247"/>
      <c r="F3" s="247"/>
      <c r="G3" s="247"/>
    </row>
    <row r="4" spans="1:10" x14ac:dyDescent="0.25">
      <c r="A4" s="169"/>
      <c r="B4" s="169"/>
      <c r="C4" s="169"/>
      <c r="D4" s="169"/>
      <c r="E4" s="169"/>
      <c r="F4" s="169"/>
      <c r="G4" s="169"/>
    </row>
    <row r="5" spans="1:10" x14ac:dyDescent="0.25">
      <c r="A5" s="82"/>
      <c r="B5" s="248" t="s">
        <v>171</v>
      </c>
      <c r="C5" s="248"/>
      <c r="D5" s="248"/>
      <c r="E5" s="248"/>
      <c r="F5" s="248"/>
      <c r="G5" s="248"/>
    </row>
    <row r="6" spans="1:10" ht="17.25" x14ac:dyDescent="0.25">
      <c r="A6" s="83" t="s">
        <v>0</v>
      </c>
      <c r="B6" s="176" t="s">
        <v>149</v>
      </c>
      <c r="C6" s="143" t="s">
        <v>1</v>
      </c>
      <c r="D6" s="143" t="s">
        <v>2</v>
      </c>
      <c r="E6" s="143" t="s">
        <v>3</v>
      </c>
      <c r="F6" s="143" t="s">
        <v>4</v>
      </c>
      <c r="G6" s="143" t="s">
        <v>147</v>
      </c>
    </row>
    <row r="7" spans="1:10" x14ac:dyDescent="0.25">
      <c r="A7" s="84" t="s">
        <v>5</v>
      </c>
      <c r="B7" s="117">
        <f>'Allowance Price Tables'!B43/1000</f>
        <v>1038620.13846</v>
      </c>
      <c r="C7" s="117">
        <f>'Allowance Price Tables'!B44/1000</f>
        <v>1036967</v>
      </c>
      <c r="D7" s="117">
        <f>'Allowance Price Tables'!B45/1000</f>
        <v>707778</v>
      </c>
      <c r="E7" s="117">
        <f>'Allowance Price Tables'!B46/1000</f>
        <v>548276</v>
      </c>
      <c r="F7" s="117">
        <f>'Allowance Price Tables'!B47/1000</f>
        <v>388589</v>
      </c>
      <c r="G7" s="117">
        <f>'Allowance Price Tables'!B48/1000</f>
        <v>317493</v>
      </c>
    </row>
    <row r="8" spans="1:10" x14ac:dyDescent="0.25">
      <c r="A8" s="86" t="s">
        <v>208</v>
      </c>
      <c r="B8" s="118">
        <v>366558</v>
      </c>
      <c r="C8" s="118">
        <v>359117</v>
      </c>
      <c r="D8" s="118">
        <v>359117</v>
      </c>
      <c r="E8" s="118">
        <v>359117</v>
      </c>
      <c r="F8" s="118">
        <v>359117</v>
      </c>
      <c r="G8" s="118">
        <f>G7</f>
        <v>317493</v>
      </c>
    </row>
    <row r="9" spans="1:10" ht="17.25" x14ac:dyDescent="0.25">
      <c r="A9" s="88" t="s">
        <v>207</v>
      </c>
      <c r="B9" s="119">
        <v>2500</v>
      </c>
      <c r="C9" s="119">
        <v>10000</v>
      </c>
      <c r="D9" s="119">
        <v>10000</v>
      </c>
      <c r="E9" s="119">
        <v>10000</v>
      </c>
      <c r="F9" s="119">
        <v>10000</v>
      </c>
      <c r="G9" s="225">
        <v>0</v>
      </c>
    </row>
    <row r="10" spans="1:10" ht="17.25" x14ac:dyDescent="0.25">
      <c r="A10" s="86" t="s">
        <v>209</v>
      </c>
      <c r="B10" s="118">
        <f t="shared" ref="B10:F10" si="0">B7-B8-B9</f>
        <v>669562.13846000005</v>
      </c>
      <c r="C10" s="118">
        <f t="shared" si="0"/>
        <v>667850</v>
      </c>
      <c r="D10" s="118">
        <f t="shared" si="0"/>
        <v>338661</v>
      </c>
      <c r="E10" s="118">
        <f t="shared" si="0"/>
        <v>179159</v>
      </c>
      <c r="F10" s="118">
        <f t="shared" si="0"/>
        <v>19472</v>
      </c>
      <c r="G10" s="118">
        <v>0</v>
      </c>
    </row>
    <row r="11" spans="1:10" x14ac:dyDescent="0.25">
      <c r="A11" s="88"/>
      <c r="B11" s="89"/>
      <c r="C11" s="89"/>
      <c r="D11" s="89"/>
      <c r="E11" s="89"/>
      <c r="F11" s="89"/>
      <c r="G11" s="89"/>
    </row>
    <row r="12" spans="1:10" x14ac:dyDescent="0.25">
      <c r="A12" s="82"/>
      <c r="B12" s="248" t="s">
        <v>172</v>
      </c>
      <c r="C12" s="248"/>
      <c r="D12" s="248"/>
      <c r="E12" s="248"/>
      <c r="F12" s="248"/>
      <c r="G12" s="248"/>
    </row>
    <row r="13" spans="1:10" x14ac:dyDescent="0.25">
      <c r="A13" s="83" t="s">
        <v>0</v>
      </c>
      <c r="B13" s="176" t="s">
        <v>217</v>
      </c>
      <c r="C13" s="143" t="s">
        <v>1</v>
      </c>
      <c r="D13" s="143" t="s">
        <v>2</v>
      </c>
      <c r="E13" s="143" t="s">
        <v>3</v>
      </c>
      <c r="F13" s="143" t="s">
        <v>4</v>
      </c>
      <c r="G13" s="143" t="s">
        <v>147</v>
      </c>
    </row>
    <row r="14" spans="1:10" x14ac:dyDescent="0.25">
      <c r="A14" s="84" t="s">
        <v>5</v>
      </c>
      <c r="B14" s="85">
        <v>956086</v>
      </c>
      <c r="C14" s="85">
        <v>876372</v>
      </c>
      <c r="D14" s="85">
        <v>766584</v>
      </c>
      <c r="E14" s="85">
        <v>676196</v>
      </c>
      <c r="F14" s="85">
        <v>571823</v>
      </c>
      <c r="G14" s="205" t="s">
        <v>166</v>
      </c>
      <c r="I14" s="245"/>
      <c r="J14" s="245"/>
    </row>
    <row r="15" spans="1:10" x14ac:dyDescent="0.25">
      <c r="A15" s="86" t="s">
        <v>208</v>
      </c>
      <c r="B15" s="87">
        <v>366558</v>
      </c>
      <c r="C15" s="87">
        <v>359117</v>
      </c>
      <c r="D15" s="87">
        <v>359117</v>
      </c>
      <c r="E15" s="87">
        <v>359117</v>
      </c>
      <c r="F15" s="87">
        <v>359117</v>
      </c>
      <c r="G15" s="206" t="s">
        <v>166</v>
      </c>
    </row>
    <row r="16" spans="1:10" ht="17.25" x14ac:dyDescent="0.25">
      <c r="A16" s="88" t="s">
        <v>207</v>
      </c>
      <c r="B16" s="89">
        <v>2500</v>
      </c>
      <c r="C16" s="89">
        <v>10000</v>
      </c>
      <c r="D16" s="89">
        <v>10000</v>
      </c>
      <c r="E16" s="89">
        <v>10000</v>
      </c>
      <c r="F16" s="89">
        <v>10000</v>
      </c>
      <c r="G16" s="205" t="s">
        <v>166</v>
      </c>
    </row>
    <row r="17" spans="1:10" ht="17.25" x14ac:dyDescent="0.25">
      <c r="A17" s="86" t="s">
        <v>209</v>
      </c>
      <c r="B17" s="87">
        <v>587028</v>
      </c>
      <c r="C17" s="87">
        <v>507255</v>
      </c>
      <c r="D17" s="87">
        <v>397467</v>
      </c>
      <c r="E17" s="87">
        <v>307079</v>
      </c>
      <c r="F17" s="87">
        <v>202706</v>
      </c>
      <c r="G17" s="206" t="s">
        <v>166</v>
      </c>
    </row>
    <row r="18" spans="1:10" x14ac:dyDescent="0.25">
      <c r="A18" s="47"/>
      <c r="B18" s="50"/>
      <c r="C18" s="50"/>
      <c r="D18" s="50"/>
      <c r="E18" s="50"/>
      <c r="F18" s="47"/>
      <c r="G18" s="47"/>
    </row>
    <row r="19" spans="1:10" x14ac:dyDescent="0.25">
      <c r="A19" s="82"/>
      <c r="B19" s="248" t="s">
        <v>150</v>
      </c>
      <c r="C19" s="248"/>
      <c r="D19" s="248"/>
      <c r="E19" s="248"/>
      <c r="F19" s="248"/>
      <c r="G19" s="248"/>
    </row>
    <row r="20" spans="1:10" x14ac:dyDescent="0.25">
      <c r="A20" s="83" t="s">
        <v>0</v>
      </c>
      <c r="B20" s="176" t="s">
        <v>217</v>
      </c>
      <c r="C20" s="143" t="s">
        <v>1</v>
      </c>
      <c r="D20" s="143" t="s">
        <v>2</v>
      </c>
      <c r="E20" s="143" t="s">
        <v>3</v>
      </c>
      <c r="F20" s="143" t="s">
        <v>4</v>
      </c>
      <c r="G20" s="143" t="s">
        <v>147</v>
      </c>
    </row>
    <row r="21" spans="1:10" x14ac:dyDescent="0.25">
      <c r="A21" s="164" t="s">
        <v>5</v>
      </c>
      <c r="B21" s="165">
        <f t="shared" ref="B21:F24" si="1">B7-B14</f>
        <v>82534.138460000046</v>
      </c>
      <c r="C21" s="165">
        <f t="shared" si="1"/>
        <v>160595</v>
      </c>
      <c r="D21" s="165">
        <f t="shared" si="1"/>
        <v>-58806</v>
      </c>
      <c r="E21" s="165">
        <f t="shared" si="1"/>
        <v>-127920</v>
      </c>
      <c r="F21" s="165">
        <f t="shared" si="1"/>
        <v>-183234</v>
      </c>
      <c r="G21" s="205" t="s">
        <v>166</v>
      </c>
      <c r="I21" s="245"/>
      <c r="J21" s="245"/>
    </row>
    <row r="22" spans="1:10" x14ac:dyDescent="0.25">
      <c r="A22" s="86" t="s">
        <v>208</v>
      </c>
      <c r="B22" s="166">
        <f t="shared" si="1"/>
        <v>0</v>
      </c>
      <c r="C22" s="166">
        <f t="shared" si="1"/>
        <v>0</v>
      </c>
      <c r="D22" s="166">
        <f t="shared" si="1"/>
        <v>0</v>
      </c>
      <c r="E22" s="166">
        <f t="shared" si="1"/>
        <v>0</v>
      </c>
      <c r="F22" s="166">
        <f t="shared" si="1"/>
        <v>0</v>
      </c>
      <c r="G22" s="206" t="s">
        <v>166</v>
      </c>
    </row>
    <row r="23" spans="1:10" ht="17.25" x14ac:dyDescent="0.25">
      <c r="A23" s="88" t="s">
        <v>207</v>
      </c>
      <c r="B23" s="167">
        <f t="shared" si="1"/>
        <v>0</v>
      </c>
      <c r="C23" s="167">
        <f t="shared" si="1"/>
        <v>0</v>
      </c>
      <c r="D23" s="167">
        <f t="shared" si="1"/>
        <v>0</v>
      </c>
      <c r="E23" s="167">
        <f t="shared" si="1"/>
        <v>0</v>
      </c>
      <c r="F23" s="167">
        <f t="shared" si="1"/>
        <v>0</v>
      </c>
      <c r="G23" s="205" t="s">
        <v>166</v>
      </c>
    </row>
    <row r="24" spans="1:10" ht="17.25" x14ac:dyDescent="0.25">
      <c r="A24" s="86" t="s">
        <v>209</v>
      </c>
      <c r="B24" s="166">
        <f t="shared" si="1"/>
        <v>82534.138460000046</v>
      </c>
      <c r="C24" s="166">
        <f t="shared" si="1"/>
        <v>160595</v>
      </c>
      <c r="D24" s="166">
        <f t="shared" si="1"/>
        <v>-58806</v>
      </c>
      <c r="E24" s="166">
        <f t="shared" si="1"/>
        <v>-127920</v>
      </c>
      <c r="F24" s="166">
        <f t="shared" si="1"/>
        <v>-183234</v>
      </c>
      <c r="G24" s="206" t="s">
        <v>166</v>
      </c>
    </row>
    <row r="25" spans="1:10" x14ac:dyDescent="0.25">
      <c r="A25" s="47"/>
      <c r="B25" s="50"/>
      <c r="C25" s="50"/>
      <c r="D25" s="50"/>
      <c r="E25" s="50"/>
      <c r="F25" s="47"/>
      <c r="G25" s="47"/>
    </row>
    <row r="26" spans="1:10" ht="15" customHeight="1" x14ac:dyDescent="0.25">
      <c r="A26" s="81" t="s">
        <v>219</v>
      </c>
      <c r="B26" s="80"/>
      <c r="C26" s="80"/>
      <c r="D26" s="80"/>
      <c r="E26" s="80"/>
      <c r="F26" s="80"/>
      <c r="G26" s="80"/>
    </row>
    <row r="27" spans="1:10" ht="31.5" customHeight="1" x14ac:dyDescent="0.25">
      <c r="A27" s="249" t="s">
        <v>210</v>
      </c>
      <c r="B27" s="249"/>
      <c r="C27" s="249"/>
      <c r="D27" s="249"/>
      <c r="E27" s="249"/>
      <c r="F27" s="249"/>
      <c r="G27" s="249"/>
    </row>
    <row r="28" spans="1:10" ht="27.75" customHeight="1" x14ac:dyDescent="0.25">
      <c r="A28" s="246" t="s">
        <v>211</v>
      </c>
      <c r="B28" s="246"/>
      <c r="C28" s="246"/>
      <c r="D28" s="246"/>
      <c r="E28" s="246"/>
      <c r="F28" s="246"/>
      <c r="G28" s="246"/>
    </row>
    <row r="29" spans="1:10" ht="50.25" customHeight="1" x14ac:dyDescent="0.25">
      <c r="A29" s="246"/>
      <c r="B29" s="246"/>
      <c r="C29" s="246"/>
      <c r="D29" s="246"/>
      <c r="E29" s="246"/>
      <c r="F29" s="246"/>
      <c r="G29" s="246"/>
    </row>
  </sheetData>
  <sheetProtection algorithmName="SHA-512" hashValue="KhNlHpcnbNxO6MZ9h14xZ+d/p9KvnokL13iwDuQs5al6q9LQ4p6gKhsLdD8zfQiYjh8YZ+h6ZAXDWOHzrCT09g==" saltValue="HnjlE+/8ACuqj7GMWcBTyg==" spinCount="100000" sheet="1" objects="1" scenarios="1"/>
  <mergeCells count="7">
    <mergeCell ref="A29:G29"/>
    <mergeCell ref="A3:G3"/>
    <mergeCell ref="B12:G12"/>
    <mergeCell ref="A27:G27"/>
    <mergeCell ref="A28:G28"/>
    <mergeCell ref="B5:G5"/>
    <mergeCell ref="B19:G19"/>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3981-D215-4C36-AAC3-4EB69829588A}">
  <dimension ref="A1:H69"/>
  <sheetViews>
    <sheetView showGridLines="0" zoomScale="85" zoomScaleNormal="85" workbookViewId="0">
      <selection activeCell="E68" sqref="E68"/>
    </sheetView>
  </sheetViews>
  <sheetFormatPr defaultRowHeight="15" x14ac:dyDescent="0.25"/>
  <cols>
    <col min="1" max="1" width="39.42578125" customWidth="1"/>
    <col min="2" max="2" width="42.85546875" customWidth="1"/>
    <col min="3" max="3" width="21.42578125" customWidth="1"/>
    <col min="4" max="4" width="16.28515625" bestFit="1" customWidth="1"/>
    <col min="5" max="5" width="42" customWidth="1"/>
    <col min="6" max="6" width="40" bestFit="1" customWidth="1"/>
    <col min="7" max="7" width="27.7109375" bestFit="1" customWidth="1"/>
    <col min="8" max="8" width="31.140625" bestFit="1" customWidth="1"/>
    <col min="9" max="9" width="19" customWidth="1"/>
    <col min="10" max="11" width="9.140625" customWidth="1"/>
  </cols>
  <sheetData>
    <row r="1" spans="1:8" ht="22.5" customHeight="1" x14ac:dyDescent="0.25">
      <c r="A1" s="251" t="s">
        <v>205</v>
      </c>
      <c r="B1" s="251"/>
      <c r="C1" s="251"/>
      <c r="D1" s="251"/>
      <c r="E1" s="251"/>
      <c r="F1" s="251"/>
      <c r="G1" s="251"/>
      <c r="H1" s="251"/>
    </row>
    <row r="2" spans="1:8" x14ac:dyDescent="0.25">
      <c r="A2" s="65">
        <v>45835</v>
      </c>
      <c r="B2" s="108" t="s">
        <v>148</v>
      </c>
      <c r="F2" s="45"/>
    </row>
    <row r="3" spans="1:8" ht="30" customHeight="1" x14ac:dyDescent="0.25">
      <c r="A3" s="250" t="s">
        <v>161</v>
      </c>
      <c r="B3" s="250"/>
      <c r="C3" s="250"/>
      <c r="D3" s="250"/>
      <c r="E3" s="250"/>
      <c r="F3" s="250"/>
    </row>
    <row r="4" spans="1:8" ht="30" customHeight="1" x14ac:dyDescent="0.25">
      <c r="A4" s="170"/>
      <c r="B4" s="170"/>
      <c r="C4" s="170"/>
    </row>
    <row r="5" spans="1:8" x14ac:dyDescent="0.25">
      <c r="A5" s="2" t="s">
        <v>6</v>
      </c>
    </row>
    <row r="6" spans="1:8" x14ac:dyDescent="0.25">
      <c r="A6" s="17" t="s">
        <v>7</v>
      </c>
      <c r="B6" s="144" t="s">
        <v>8</v>
      </c>
      <c r="C6" s="145" t="s">
        <v>9</v>
      </c>
    </row>
    <row r="7" spans="1:8" x14ac:dyDescent="0.25">
      <c r="A7" s="13" t="s">
        <v>10</v>
      </c>
      <c r="B7" s="146">
        <f>B17</f>
        <v>29.322500000000002</v>
      </c>
      <c r="C7" s="147">
        <f>C17</f>
        <v>28.515000000000001</v>
      </c>
    </row>
    <row r="8" spans="1:8" x14ac:dyDescent="0.25">
      <c r="A8" s="14" t="s">
        <v>11</v>
      </c>
      <c r="B8" s="148">
        <f>B26</f>
        <v>58.397500000000001</v>
      </c>
      <c r="C8" s="149">
        <f>C26</f>
        <v>30.844999999999999</v>
      </c>
    </row>
    <row r="9" spans="1:8" x14ac:dyDescent="0.25">
      <c r="A9" s="15" t="s">
        <v>12</v>
      </c>
      <c r="B9" s="156">
        <f>AVERAGE(B7:B8)</f>
        <v>43.86</v>
      </c>
      <c r="C9" s="150">
        <f>AVERAGE(C7:C8)</f>
        <v>29.68</v>
      </c>
    </row>
    <row r="10" spans="1:8" x14ac:dyDescent="0.25">
      <c r="B10" s="132"/>
      <c r="C10" s="132"/>
    </row>
    <row r="11" spans="1:8" x14ac:dyDescent="0.25">
      <c r="A11" s="120" t="s">
        <v>13</v>
      </c>
      <c r="B11" s="132"/>
      <c r="C11" s="132"/>
    </row>
    <row r="12" spans="1:8" x14ac:dyDescent="0.25">
      <c r="A12" s="18" t="s">
        <v>7</v>
      </c>
      <c r="B12" s="144" t="s">
        <v>8</v>
      </c>
      <c r="C12" s="145" t="s">
        <v>9</v>
      </c>
    </row>
    <row r="13" spans="1:8" x14ac:dyDescent="0.25">
      <c r="A13" s="13" t="s">
        <v>14</v>
      </c>
      <c r="B13" s="76">
        <v>30.24</v>
      </c>
      <c r="C13" s="77">
        <v>29.75</v>
      </c>
    </row>
    <row r="14" spans="1:8" x14ac:dyDescent="0.25">
      <c r="A14" s="14" t="s">
        <v>15</v>
      </c>
      <c r="B14" s="102">
        <v>31.91</v>
      </c>
      <c r="C14" s="78">
        <v>30.16</v>
      </c>
    </row>
    <row r="15" spans="1:8" x14ac:dyDescent="0.25">
      <c r="A15" s="13" t="s">
        <v>151</v>
      </c>
      <c r="B15" s="76">
        <v>29.27</v>
      </c>
      <c r="C15" s="77">
        <v>28</v>
      </c>
    </row>
    <row r="16" spans="1:8" x14ac:dyDescent="0.25">
      <c r="A16" s="14" t="s">
        <v>152</v>
      </c>
      <c r="B16" s="102">
        <v>25.87</v>
      </c>
      <c r="C16" s="78">
        <v>26.15</v>
      </c>
    </row>
    <row r="17" spans="1:3" x14ac:dyDescent="0.25">
      <c r="A17" s="15" t="s">
        <v>12</v>
      </c>
      <c r="B17" s="156">
        <f>AVERAGE(B13:B16)</f>
        <v>29.322500000000002</v>
      </c>
      <c r="C17" s="79">
        <f>AVERAGE(C13:C16)</f>
        <v>28.515000000000001</v>
      </c>
    </row>
    <row r="18" spans="1:3" x14ac:dyDescent="0.25">
      <c r="A18" s="16" t="s">
        <v>16</v>
      </c>
    </row>
    <row r="20" spans="1:3" x14ac:dyDescent="0.25">
      <c r="A20" s="121" t="s">
        <v>17</v>
      </c>
    </row>
    <row r="21" spans="1:3" x14ac:dyDescent="0.25">
      <c r="A21" s="18" t="s">
        <v>7</v>
      </c>
      <c r="B21" s="144" t="s">
        <v>8</v>
      </c>
      <c r="C21" s="145" t="s">
        <v>9</v>
      </c>
    </row>
    <row r="22" spans="1:3" x14ac:dyDescent="0.25">
      <c r="A22" s="13" t="s">
        <v>153</v>
      </c>
      <c r="B22" s="111">
        <v>58.51</v>
      </c>
      <c r="C22" s="112">
        <v>26.21</v>
      </c>
    </row>
    <row r="23" spans="1:3" x14ac:dyDescent="0.25">
      <c r="A23" s="178" t="s">
        <v>154</v>
      </c>
      <c r="B23" s="113">
        <v>57.62</v>
      </c>
      <c r="C23" s="114"/>
    </row>
    <row r="24" spans="1:3" x14ac:dyDescent="0.25">
      <c r="A24" s="177" t="s">
        <v>168</v>
      </c>
      <c r="B24" s="115">
        <v>58.36</v>
      </c>
      <c r="C24" s="116">
        <v>35.479999999999997</v>
      </c>
    </row>
    <row r="25" spans="1:3" x14ac:dyDescent="0.25">
      <c r="A25" t="s">
        <v>169</v>
      </c>
      <c r="B25" s="113">
        <v>59.1</v>
      </c>
      <c r="C25" s="114"/>
    </row>
    <row r="26" spans="1:3" x14ac:dyDescent="0.25">
      <c r="A26" s="15" t="s">
        <v>12</v>
      </c>
      <c r="B26" s="181">
        <f>AVERAGE(B22:B25)</f>
        <v>58.397500000000001</v>
      </c>
      <c r="C26" s="182">
        <f>AVERAGE(C22:C25)</f>
        <v>30.844999999999999</v>
      </c>
    </row>
    <row r="27" spans="1:3" x14ac:dyDescent="0.25">
      <c r="A27" s="16" t="s">
        <v>18</v>
      </c>
    </row>
    <row r="28" spans="1:3" x14ac:dyDescent="0.25">
      <c r="A28" s="65" t="s">
        <v>162</v>
      </c>
    </row>
    <row r="29" spans="1:3" x14ac:dyDescent="0.25">
      <c r="A29" s="65"/>
    </row>
    <row r="30" spans="1:3" ht="19.5" customHeight="1" x14ac:dyDescent="0.25">
      <c r="A30" s="170"/>
      <c r="B30" s="170"/>
    </row>
    <row r="31" spans="1:3" x14ac:dyDescent="0.25">
      <c r="A31" s="2" t="s">
        <v>19</v>
      </c>
    </row>
    <row r="32" spans="1:3" x14ac:dyDescent="0.25">
      <c r="A32" s="19" t="s">
        <v>20</v>
      </c>
      <c r="B32" s="151" t="s">
        <v>21</v>
      </c>
    </row>
    <row r="33" spans="1:3" x14ac:dyDescent="0.25">
      <c r="A33" s="21">
        <v>2025</v>
      </c>
      <c r="B33" s="22">
        <v>2.5999999999999999E-2</v>
      </c>
    </row>
    <row r="34" spans="1:3" x14ac:dyDescent="0.25">
      <c r="A34" s="20">
        <v>2026</v>
      </c>
      <c r="B34" s="180">
        <v>2.9000000000000001E-2</v>
      </c>
    </row>
    <row r="35" spans="1:3" x14ac:dyDescent="0.25">
      <c r="A35" s="21">
        <v>2027</v>
      </c>
      <c r="B35" s="22">
        <v>2.1999999999999999E-2</v>
      </c>
    </row>
    <row r="36" spans="1:3" x14ac:dyDescent="0.25">
      <c r="A36" s="20">
        <v>2028</v>
      </c>
      <c r="B36" s="180">
        <v>0.02</v>
      </c>
    </row>
    <row r="37" spans="1:3" x14ac:dyDescent="0.25">
      <c r="A37" s="21">
        <v>2029</v>
      </c>
      <c r="B37" s="22">
        <v>1.9E-2</v>
      </c>
    </row>
    <row r="38" spans="1:3" x14ac:dyDescent="0.25">
      <c r="A38" s="20">
        <v>2030</v>
      </c>
      <c r="B38" s="180">
        <v>2.1000000000000001E-2</v>
      </c>
      <c r="C38" s="179"/>
    </row>
    <row r="39" spans="1:3" x14ac:dyDescent="0.25">
      <c r="A39" s="129"/>
      <c r="B39" s="173"/>
    </row>
    <row r="40" spans="1:3" x14ac:dyDescent="0.25">
      <c r="B40" s="49"/>
    </row>
    <row r="41" spans="1:3" x14ac:dyDescent="0.25">
      <c r="A41" s="120" t="s">
        <v>167</v>
      </c>
      <c r="B41" s="108"/>
    </row>
    <row r="42" spans="1:3" x14ac:dyDescent="0.25">
      <c r="A42" s="17" t="s">
        <v>22</v>
      </c>
      <c r="B42" s="151" t="s">
        <v>23</v>
      </c>
    </row>
    <row r="43" spans="1:3" x14ac:dyDescent="0.25">
      <c r="A43" s="21">
        <v>2025</v>
      </c>
      <c r="B43" s="109">
        <f>'Appendix B - By Auction Detail'!H27</f>
        <v>1038620138.46</v>
      </c>
    </row>
    <row r="44" spans="1:3" x14ac:dyDescent="0.25">
      <c r="A44" s="20">
        <v>2026</v>
      </c>
      <c r="B44" s="110">
        <f>'Appendix B - By Auction Detail'!H41</f>
        <v>1036967000</v>
      </c>
    </row>
    <row r="45" spans="1:3" x14ac:dyDescent="0.25">
      <c r="A45" s="21">
        <v>2027</v>
      </c>
      <c r="B45" s="109">
        <f>'Appendix B - By Auction Detail'!H55</f>
        <v>707778000</v>
      </c>
    </row>
    <row r="46" spans="1:3" x14ac:dyDescent="0.25">
      <c r="A46" s="20">
        <v>2028</v>
      </c>
      <c r="B46" s="110">
        <f>'Appendix B - By Auction Detail'!H69</f>
        <v>548276000</v>
      </c>
    </row>
    <row r="47" spans="1:3" x14ac:dyDescent="0.25">
      <c r="A47" s="21">
        <v>2029</v>
      </c>
      <c r="B47" s="109">
        <f>'Appendix B - By Auction Detail'!H82</f>
        <v>388589000</v>
      </c>
      <c r="C47" s="153"/>
    </row>
    <row r="48" spans="1:3" ht="15.75" thickBot="1" x14ac:dyDescent="0.3">
      <c r="A48" s="232">
        <v>2030</v>
      </c>
      <c r="B48" s="233">
        <f>'Appendix B - By Auction Detail'!H95</f>
        <v>317493000</v>
      </c>
      <c r="C48" s="153"/>
    </row>
    <row r="49" spans="1:3" x14ac:dyDescent="0.25">
      <c r="A49" s="230" t="s">
        <v>155</v>
      </c>
      <c r="B49" s="234">
        <f>SUM(B43:B48)</f>
        <v>4037723138.46</v>
      </c>
      <c r="C49" s="153"/>
    </row>
    <row r="51" spans="1:3" x14ac:dyDescent="0.25">
      <c r="A51" s="2" t="s">
        <v>24</v>
      </c>
      <c r="B51" s="108"/>
    </row>
    <row r="52" spans="1:3" x14ac:dyDescent="0.25">
      <c r="A52" s="17" t="s">
        <v>22</v>
      </c>
      <c r="B52" s="151" t="s">
        <v>23</v>
      </c>
    </row>
    <row r="53" spans="1:3" x14ac:dyDescent="0.25">
      <c r="A53" s="21">
        <v>2025</v>
      </c>
      <c r="B53" s="109">
        <f>'Appendix B - By Auction Detail'!H113</f>
        <v>1038620098.2</v>
      </c>
    </row>
    <row r="54" spans="1:3" x14ac:dyDescent="0.25">
      <c r="A54" s="20">
        <v>2026</v>
      </c>
      <c r="B54" s="110">
        <f>'Appendix B - By Auction Detail'!H127</f>
        <v>643565000</v>
      </c>
    </row>
    <row r="55" spans="1:3" x14ac:dyDescent="0.25">
      <c r="A55" s="21">
        <v>2027</v>
      </c>
      <c r="B55" s="109">
        <f>'Appendix B - By Auction Detail'!H141</f>
        <v>530376000</v>
      </c>
    </row>
    <row r="56" spans="1:3" x14ac:dyDescent="0.25">
      <c r="A56" s="20">
        <v>2028</v>
      </c>
      <c r="B56" s="110">
        <f>'Appendix B - By Auction Detail'!H155</f>
        <v>417153000</v>
      </c>
    </row>
    <row r="57" spans="1:3" x14ac:dyDescent="0.25">
      <c r="A57" s="21">
        <v>2029</v>
      </c>
      <c r="B57" s="109">
        <f>'Appendix B - By Auction Detail'!H168</f>
        <v>305441000</v>
      </c>
    </row>
    <row r="58" spans="1:3" ht="15.75" thickBot="1" x14ac:dyDescent="0.3">
      <c r="A58" s="232">
        <v>2030</v>
      </c>
      <c r="B58" s="233">
        <f>'Appendix B - By Auction Detail'!H181</f>
        <v>255902000</v>
      </c>
    </row>
    <row r="59" spans="1:3" x14ac:dyDescent="0.25">
      <c r="A59" s="230" t="s">
        <v>155</v>
      </c>
      <c r="B59" s="231">
        <f>SUM(B53:B58)</f>
        <v>3191057098.1999998</v>
      </c>
    </row>
    <row r="60" spans="1:3" x14ac:dyDescent="0.25">
      <c r="B60" s="108"/>
    </row>
    <row r="61" spans="1:3" x14ac:dyDescent="0.25">
      <c r="A61" s="2" t="s">
        <v>25</v>
      </c>
      <c r="B61" s="108"/>
    </row>
    <row r="62" spans="1:3" x14ac:dyDescent="0.25">
      <c r="A62" s="17" t="s">
        <v>22</v>
      </c>
      <c r="B62" s="151" t="s">
        <v>23</v>
      </c>
    </row>
    <row r="63" spans="1:3" x14ac:dyDescent="0.25">
      <c r="A63" s="21">
        <v>2025</v>
      </c>
      <c r="B63" s="109">
        <f>'Appendix B - By Auction Detail'!H197</f>
        <v>1038620138.46</v>
      </c>
    </row>
    <row r="64" spans="1:3" x14ac:dyDescent="0.25">
      <c r="A64" s="20">
        <v>2026</v>
      </c>
      <c r="B64" s="110">
        <f>'Appendix B - By Auction Detail'!H211</f>
        <v>1093633000</v>
      </c>
    </row>
    <row r="65" spans="1:2" x14ac:dyDescent="0.25">
      <c r="A65" s="21">
        <v>2027</v>
      </c>
      <c r="B65" s="109">
        <f>'Appendix B - By Auction Detail'!H225</f>
        <v>910211000</v>
      </c>
    </row>
    <row r="66" spans="1:2" x14ac:dyDescent="0.25">
      <c r="A66" s="20">
        <v>2028</v>
      </c>
      <c r="B66" s="110">
        <f>'Appendix B - By Auction Detail'!H239</f>
        <v>698304000</v>
      </c>
    </row>
    <row r="67" spans="1:2" x14ac:dyDescent="0.25">
      <c r="A67" s="21">
        <v>2029</v>
      </c>
      <c r="B67" s="109">
        <f>'Appendix B - By Auction Detail'!H252</f>
        <v>484454000</v>
      </c>
    </row>
    <row r="68" spans="1:2" ht="15.75" thickBot="1" x14ac:dyDescent="0.3">
      <c r="A68" s="232">
        <v>2030</v>
      </c>
      <c r="B68" s="233">
        <f>'Appendix B - By Auction Detail'!H265</f>
        <v>470313000</v>
      </c>
    </row>
    <row r="69" spans="1:2" x14ac:dyDescent="0.25">
      <c r="A69" s="230" t="s">
        <v>155</v>
      </c>
      <c r="B69" s="231">
        <f>SUM(B63:B68)</f>
        <v>4695535138.46</v>
      </c>
    </row>
  </sheetData>
  <sheetProtection algorithmName="SHA-512" hashValue="W9pFu/kgnUWPqYa0raEAy4ftVK/9VfITto0ZGpy21q6E33KQTPuTTlbLZZaC/N/k+jOgOtbfn3GSicIk69LfBQ==" saltValue="yImUlr0K7YL+FX7o31P0Xg==" spinCount="100000" sheet="1" objects="1" scenarios="1"/>
  <mergeCells count="2">
    <mergeCell ref="A3:F3"/>
    <mergeCell ref="A1:H1"/>
  </mergeCells>
  <hyperlinks>
    <hyperlink ref="A18" r:id="rId1" xr:uid="{28689A35-47E8-43E4-8F37-C65701E4D4C2}"/>
    <hyperlink ref="A27" r:id="rId2" xr:uid="{B2D08083-A7C8-4D62-8FA0-B0E13E8D6CD3}"/>
  </hyperlinks>
  <pageMargins left="0.7" right="0.7" top="0.75" bottom="0.75" header="0.3" footer="0.3"/>
  <pageSetup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5F8F-94D4-478A-9A4B-B2BE89B2CE96}">
  <dimension ref="A1:H191"/>
  <sheetViews>
    <sheetView showGridLines="0" topLeftCell="A88" zoomScale="115" zoomScaleNormal="115" workbookViewId="0">
      <selection activeCell="B116" sqref="B116"/>
    </sheetView>
  </sheetViews>
  <sheetFormatPr defaultRowHeight="15" x14ac:dyDescent="0.25"/>
  <cols>
    <col min="1" max="1" width="12.7109375" style="129" customWidth="1"/>
    <col min="2" max="2" width="70.7109375" style="132" customWidth="1"/>
    <col min="3" max="3" width="5.28515625" customWidth="1"/>
    <col min="4" max="4" width="16.28515625" customWidth="1"/>
    <col min="5" max="5" width="20" customWidth="1"/>
    <col min="6" max="6" width="15.140625" customWidth="1"/>
    <col min="7" max="7" width="14.7109375" customWidth="1"/>
    <col min="8" max="8" width="16.140625" customWidth="1"/>
    <col min="9" max="9" width="12.28515625" bestFit="1" customWidth="1"/>
    <col min="11" max="11" width="11.140625" customWidth="1"/>
  </cols>
  <sheetData>
    <row r="1" spans="1:8" ht="21" x14ac:dyDescent="0.35">
      <c r="A1" s="122" t="s">
        <v>204</v>
      </c>
    </row>
    <row r="2" spans="1:8" x14ac:dyDescent="0.25">
      <c r="A2" s="65">
        <v>45835</v>
      </c>
      <c r="B2" s="108" t="s">
        <v>148</v>
      </c>
      <c r="F2" s="45"/>
    </row>
    <row r="3" spans="1:8" ht="15" customHeight="1" x14ac:dyDescent="0.25">
      <c r="A3" s="250" t="s">
        <v>160</v>
      </c>
      <c r="B3" s="250"/>
      <c r="C3" s="250"/>
      <c r="D3" s="250"/>
      <c r="E3" s="250"/>
      <c r="F3" s="250"/>
      <c r="G3" s="250"/>
      <c r="H3" s="250"/>
    </row>
    <row r="4" spans="1:8" x14ac:dyDescent="0.25">
      <c r="A4" s="170"/>
      <c r="B4" s="133"/>
      <c r="F4" s="170"/>
      <c r="G4" s="170"/>
      <c r="H4" s="170"/>
    </row>
    <row r="5" spans="1:8" x14ac:dyDescent="0.25">
      <c r="A5" s="123" t="s">
        <v>26</v>
      </c>
      <c r="B5" s="134"/>
    </row>
    <row r="6" spans="1:8" ht="14.45" customHeight="1" x14ac:dyDescent="0.25">
      <c r="A6" s="124" t="s">
        <v>27</v>
      </c>
      <c r="B6" s="135" t="s">
        <v>28</v>
      </c>
      <c r="E6" s="5"/>
    </row>
    <row r="7" spans="1:8" ht="14.45" customHeight="1" x14ac:dyDescent="0.25">
      <c r="A7" s="57">
        <v>2023</v>
      </c>
      <c r="B7" s="59">
        <v>63288565</v>
      </c>
      <c r="D7" s="103"/>
      <c r="E7" s="155"/>
      <c r="F7" s="5"/>
      <c r="G7" s="5"/>
    </row>
    <row r="8" spans="1:8" ht="14.45" customHeight="1" x14ac:dyDescent="0.25">
      <c r="A8" s="58">
        <v>2024</v>
      </c>
      <c r="B8" s="60">
        <v>58524909</v>
      </c>
      <c r="D8" s="154"/>
      <c r="E8" s="155"/>
      <c r="F8" s="5"/>
    </row>
    <row r="9" spans="1:8" ht="14.45" customHeight="1" x14ac:dyDescent="0.25">
      <c r="A9" s="57">
        <v>2025</v>
      </c>
      <c r="B9" s="59">
        <v>53761254</v>
      </c>
      <c r="D9" s="154"/>
      <c r="E9" s="155"/>
      <c r="F9" s="5"/>
    </row>
    <row r="10" spans="1:8" ht="14.45" customHeight="1" x14ac:dyDescent="0.25">
      <c r="A10" s="58">
        <v>2026</v>
      </c>
      <c r="B10" s="60">
        <v>48997598</v>
      </c>
      <c r="D10" s="154"/>
      <c r="E10" s="155"/>
    </row>
    <row r="11" spans="1:8" ht="14.45" customHeight="1" x14ac:dyDescent="0.25">
      <c r="A11" s="57">
        <v>2027</v>
      </c>
      <c r="B11" s="59">
        <v>44459735</v>
      </c>
      <c r="D11" s="154"/>
      <c r="E11" s="155"/>
    </row>
    <row r="12" spans="1:8" ht="14.45" customHeight="1" x14ac:dyDescent="0.25">
      <c r="A12" s="58">
        <v>2028</v>
      </c>
      <c r="B12" s="60">
        <v>39679085</v>
      </c>
      <c r="D12" s="154"/>
      <c r="E12" s="155"/>
    </row>
    <row r="13" spans="1:8" ht="14.45" customHeight="1" x14ac:dyDescent="0.25">
      <c r="A13" s="57">
        <v>2029</v>
      </c>
      <c r="B13" s="59">
        <v>34898434</v>
      </c>
      <c r="D13" s="154"/>
      <c r="E13" s="155"/>
    </row>
    <row r="14" spans="1:8" ht="14.45" customHeight="1" x14ac:dyDescent="0.25">
      <c r="A14" s="58">
        <v>2030</v>
      </c>
      <c r="B14" s="60">
        <v>30117783</v>
      </c>
      <c r="D14" s="154"/>
      <c r="E14" s="155"/>
    </row>
    <row r="15" spans="1:8" x14ac:dyDescent="0.25">
      <c r="A15" s="57">
        <v>2031</v>
      </c>
      <c r="B15" s="59">
        <v>29693713</v>
      </c>
      <c r="D15" s="154"/>
      <c r="E15" s="155"/>
    </row>
    <row r="16" spans="1:8" ht="15" customHeight="1" x14ac:dyDescent="0.25">
      <c r="A16" s="58">
        <v>2032</v>
      </c>
      <c r="B16" s="60">
        <v>28449643</v>
      </c>
      <c r="D16" s="154"/>
      <c r="E16" s="155"/>
      <c r="F16" s="48"/>
      <c r="G16" s="48"/>
      <c r="H16" s="48"/>
    </row>
    <row r="17" spans="1:8" ht="15" customHeight="1" x14ac:dyDescent="0.25">
      <c r="A17" s="57">
        <v>2033</v>
      </c>
      <c r="B17" s="59">
        <v>27205573</v>
      </c>
      <c r="C17" s="48"/>
      <c r="D17" s="154"/>
      <c r="E17" s="155"/>
      <c r="F17" s="48"/>
      <c r="G17" s="48"/>
      <c r="H17" s="48"/>
    </row>
    <row r="18" spans="1:8" ht="30" customHeight="1" x14ac:dyDescent="0.25">
      <c r="A18" s="255" t="s">
        <v>214</v>
      </c>
      <c r="B18" s="255"/>
      <c r="C18" s="255"/>
      <c r="D18" s="255"/>
      <c r="E18" s="255"/>
      <c r="F18" s="255"/>
      <c r="G18" s="255"/>
      <c r="H18" s="255"/>
    </row>
    <row r="19" spans="1:8" x14ac:dyDescent="0.25">
      <c r="A19" s="125"/>
    </row>
    <row r="20" spans="1:8" x14ac:dyDescent="0.25">
      <c r="A20" s="123" t="s">
        <v>29</v>
      </c>
    </row>
    <row r="21" spans="1:8" ht="14.45" customHeight="1" x14ac:dyDescent="0.25">
      <c r="A21" s="124" t="s">
        <v>27</v>
      </c>
      <c r="B21" s="135" t="s">
        <v>30</v>
      </c>
      <c r="D21" s="103"/>
    </row>
    <row r="22" spans="1:8" ht="14.45" customHeight="1" x14ac:dyDescent="0.25">
      <c r="A22" s="57">
        <v>2023</v>
      </c>
      <c r="B22" s="59">
        <f t="shared" ref="B22:B29" si="0">ROUND(B7*5%,0)</f>
        <v>3164428</v>
      </c>
      <c r="D22" s="103"/>
      <c r="E22" s="155"/>
    </row>
    <row r="23" spans="1:8" ht="14.45" customHeight="1" x14ac:dyDescent="0.25">
      <c r="A23" s="58">
        <v>2024</v>
      </c>
      <c r="B23" s="60">
        <f t="shared" si="0"/>
        <v>2926245</v>
      </c>
      <c r="D23" s="154"/>
      <c r="E23" s="155"/>
    </row>
    <row r="24" spans="1:8" ht="14.45" customHeight="1" x14ac:dyDescent="0.25">
      <c r="A24" s="57">
        <v>2025</v>
      </c>
      <c r="B24" s="59">
        <f t="shared" si="0"/>
        <v>2688063</v>
      </c>
      <c r="D24" s="154"/>
      <c r="E24" s="155"/>
    </row>
    <row r="25" spans="1:8" ht="14.45" customHeight="1" x14ac:dyDescent="0.25">
      <c r="A25" s="58">
        <v>2026</v>
      </c>
      <c r="B25" s="60">
        <f t="shared" si="0"/>
        <v>2449880</v>
      </c>
      <c r="D25" s="154"/>
      <c r="E25" s="155"/>
    </row>
    <row r="26" spans="1:8" ht="14.45" customHeight="1" x14ac:dyDescent="0.25">
      <c r="A26" s="57">
        <v>2027</v>
      </c>
      <c r="B26" s="59">
        <f t="shared" si="0"/>
        <v>2222987</v>
      </c>
      <c r="D26" s="154"/>
      <c r="E26" s="155"/>
    </row>
    <row r="27" spans="1:8" ht="14.45" customHeight="1" x14ac:dyDescent="0.25">
      <c r="A27" s="58">
        <v>2028</v>
      </c>
      <c r="B27" s="60">
        <f t="shared" si="0"/>
        <v>1983954</v>
      </c>
      <c r="D27" s="154"/>
      <c r="E27" s="155"/>
    </row>
    <row r="28" spans="1:8" ht="14.45" customHeight="1" x14ac:dyDescent="0.25">
      <c r="A28" s="57">
        <v>2029</v>
      </c>
      <c r="B28" s="59">
        <f t="shared" si="0"/>
        <v>1744922</v>
      </c>
      <c r="D28" s="154"/>
      <c r="E28" s="155"/>
    </row>
    <row r="29" spans="1:8" ht="14.45" customHeight="1" x14ac:dyDescent="0.25">
      <c r="A29" s="58">
        <v>2030</v>
      </c>
      <c r="B29" s="60">
        <f t="shared" si="0"/>
        <v>1505889</v>
      </c>
      <c r="D29" s="154"/>
      <c r="E29" s="155"/>
      <c r="G29" s="155"/>
    </row>
    <row r="30" spans="1:8" ht="30" customHeight="1" x14ac:dyDescent="0.25">
      <c r="A30" s="255" t="s">
        <v>31</v>
      </c>
      <c r="B30" s="255"/>
      <c r="C30" s="255"/>
      <c r="D30" s="255"/>
      <c r="E30" s="255"/>
      <c r="F30" s="255"/>
      <c r="G30" s="255"/>
      <c r="H30" s="255"/>
    </row>
    <row r="31" spans="1:8" ht="28.5" customHeight="1" x14ac:dyDescent="0.25">
      <c r="A31" s="255" t="s">
        <v>164</v>
      </c>
      <c r="B31" s="255"/>
      <c r="C31" s="255"/>
      <c r="D31" s="255"/>
      <c r="E31" s="255"/>
      <c r="F31" s="255"/>
      <c r="G31" s="255"/>
      <c r="H31" s="255"/>
    </row>
    <row r="32" spans="1:8" ht="15" customHeight="1" x14ac:dyDescent="0.25">
      <c r="A32" s="126" t="s">
        <v>165</v>
      </c>
      <c r="B32" s="136"/>
      <c r="C32" s="168"/>
      <c r="D32" s="168"/>
      <c r="E32" s="168"/>
      <c r="F32" s="168"/>
      <c r="G32" s="168"/>
      <c r="H32" s="168"/>
    </row>
    <row r="34" spans="1:8" x14ac:dyDescent="0.25">
      <c r="A34" s="123" t="s">
        <v>32</v>
      </c>
    </row>
    <row r="35" spans="1:8" ht="14.45" customHeight="1" x14ac:dyDescent="0.25">
      <c r="A35" s="124" t="s">
        <v>27</v>
      </c>
      <c r="B35" s="135" t="s">
        <v>33</v>
      </c>
      <c r="D35" s="103"/>
    </row>
    <row r="36" spans="1:8" ht="14.45" customHeight="1" x14ac:dyDescent="0.25">
      <c r="A36" s="57">
        <v>2023</v>
      </c>
      <c r="B36" s="59">
        <f>ROUND(B7*2%,0)</f>
        <v>1265771</v>
      </c>
      <c r="D36" s="103"/>
    </row>
    <row r="37" spans="1:8" ht="14.45" customHeight="1" x14ac:dyDescent="0.25">
      <c r="A37" s="58">
        <v>2024</v>
      </c>
      <c r="B37" s="60">
        <f>ROUND(B8*2%,0)</f>
        <v>1170498</v>
      </c>
      <c r="D37" s="154"/>
      <c r="E37" s="155"/>
    </row>
    <row r="38" spans="1:8" ht="14.45" customHeight="1" x14ac:dyDescent="0.25">
      <c r="A38" s="57">
        <v>2025</v>
      </c>
      <c r="B38" s="59">
        <f>ROUND(B9*2%,0)</f>
        <v>1075225</v>
      </c>
      <c r="D38" s="154"/>
      <c r="E38" s="155"/>
    </row>
    <row r="39" spans="1:8" ht="14.45" customHeight="1" x14ac:dyDescent="0.25">
      <c r="A39" s="58">
        <v>2026</v>
      </c>
      <c r="B39" s="60">
        <f>ROUND(B10*2%,0)</f>
        <v>979952</v>
      </c>
      <c r="D39" s="154"/>
      <c r="E39" s="155"/>
    </row>
    <row r="40" spans="1:8" ht="14.45" customHeight="1" x14ac:dyDescent="0.25">
      <c r="A40" s="57">
        <v>2027</v>
      </c>
      <c r="B40" s="59">
        <v>0</v>
      </c>
      <c r="D40" s="154"/>
      <c r="E40" s="155"/>
    </row>
    <row r="41" spans="1:8" ht="14.45" customHeight="1" x14ac:dyDescent="0.25">
      <c r="A41" s="58">
        <v>2028</v>
      </c>
      <c r="B41" s="60">
        <v>0</v>
      </c>
      <c r="D41" s="154"/>
      <c r="E41" s="155"/>
    </row>
    <row r="42" spans="1:8" ht="14.45" customHeight="1" x14ac:dyDescent="0.25">
      <c r="A42" s="57">
        <v>2029</v>
      </c>
      <c r="B42" s="59">
        <v>0</v>
      </c>
      <c r="D42" s="154"/>
      <c r="E42" s="155"/>
    </row>
    <row r="43" spans="1:8" ht="14.45" customHeight="1" x14ac:dyDescent="0.25">
      <c r="A43" s="58">
        <v>2030</v>
      </c>
      <c r="B43" s="60">
        <v>0</v>
      </c>
      <c r="C43" s="53"/>
      <c r="D43" s="154"/>
      <c r="E43" s="155"/>
    </row>
    <row r="44" spans="1:8" ht="30" customHeight="1" x14ac:dyDescent="0.25">
      <c r="A44" s="250" t="s">
        <v>34</v>
      </c>
      <c r="B44" s="250"/>
      <c r="C44" s="250"/>
      <c r="D44" s="250"/>
      <c r="E44" s="250"/>
      <c r="F44" s="250"/>
      <c r="G44" s="250"/>
      <c r="H44" s="250"/>
    </row>
    <row r="45" spans="1:8" ht="30.6" customHeight="1" x14ac:dyDescent="0.25">
      <c r="A45" s="246" t="s">
        <v>35</v>
      </c>
      <c r="B45" s="246"/>
      <c r="C45" s="246"/>
      <c r="D45" s="246"/>
      <c r="E45" s="246"/>
      <c r="F45" s="246"/>
      <c r="G45" s="246"/>
      <c r="H45" s="246"/>
    </row>
    <row r="47" spans="1:8" x14ac:dyDescent="0.25">
      <c r="A47" s="123" t="s">
        <v>36</v>
      </c>
    </row>
    <row r="48" spans="1:8" ht="14.45" customHeight="1" x14ac:dyDescent="0.25">
      <c r="A48" s="124" t="s">
        <v>27</v>
      </c>
      <c r="B48" s="135" t="s">
        <v>30</v>
      </c>
      <c r="D48" s="103"/>
      <c r="E48" s="90"/>
    </row>
    <row r="49" spans="1:8" x14ac:dyDescent="0.25">
      <c r="A49" s="57">
        <v>2023</v>
      </c>
      <c r="B49" s="59">
        <f>ROUND(B7*0.33%,0)</f>
        <v>208852</v>
      </c>
      <c r="E49" s="155"/>
    </row>
    <row r="50" spans="1:8" x14ac:dyDescent="0.25">
      <c r="A50" s="58">
        <v>2024</v>
      </c>
      <c r="B50" s="60">
        <f>ROUND(B8*0.33%,0)</f>
        <v>193132</v>
      </c>
      <c r="D50" s="154"/>
      <c r="E50" s="155"/>
    </row>
    <row r="51" spans="1:8" x14ac:dyDescent="0.25">
      <c r="A51" s="57">
        <v>2025</v>
      </c>
      <c r="B51" s="59">
        <f>ROUND(B9*0.33%,0)</f>
        <v>177412</v>
      </c>
      <c r="D51" s="103"/>
      <c r="E51" s="155"/>
    </row>
    <row r="52" spans="1:8" x14ac:dyDescent="0.25">
      <c r="A52" s="58">
        <v>2026</v>
      </c>
      <c r="B52" s="60">
        <f>ROUND(B10*0.33%,0)</f>
        <v>161692</v>
      </c>
      <c r="D52" s="154"/>
      <c r="E52" s="155"/>
    </row>
    <row r="53" spans="1:8" x14ac:dyDescent="0.25">
      <c r="A53" s="57">
        <v>2027</v>
      </c>
      <c r="B53" s="59">
        <v>0</v>
      </c>
      <c r="D53" s="154"/>
      <c r="E53" s="155"/>
    </row>
    <row r="54" spans="1:8" x14ac:dyDescent="0.25">
      <c r="A54" s="58">
        <v>2028</v>
      </c>
      <c r="B54" s="60">
        <v>0</v>
      </c>
      <c r="D54" s="154"/>
      <c r="E54" s="155"/>
    </row>
    <row r="55" spans="1:8" x14ac:dyDescent="0.25">
      <c r="A55" s="57">
        <v>2029</v>
      </c>
      <c r="B55" s="59">
        <v>0</v>
      </c>
      <c r="D55" s="154"/>
      <c r="E55" s="155"/>
    </row>
    <row r="56" spans="1:8" x14ac:dyDescent="0.25">
      <c r="A56" s="58">
        <v>2030</v>
      </c>
      <c r="B56" s="60">
        <v>0</v>
      </c>
      <c r="D56" s="154"/>
      <c r="E56" s="155"/>
    </row>
    <row r="57" spans="1:8" ht="30" customHeight="1" x14ac:dyDescent="0.25">
      <c r="A57" s="256" t="s">
        <v>37</v>
      </c>
      <c r="B57" s="246"/>
      <c r="C57" s="246"/>
      <c r="D57" s="246"/>
      <c r="E57" s="246"/>
      <c r="F57" s="246"/>
      <c r="G57" s="246"/>
      <c r="H57" s="246"/>
    </row>
    <row r="58" spans="1:8" ht="26.45" customHeight="1" x14ac:dyDescent="0.25">
      <c r="A58" s="246" t="s">
        <v>38</v>
      </c>
      <c r="B58" s="246"/>
      <c r="C58" s="246"/>
      <c r="D58" s="246"/>
      <c r="E58" s="246"/>
      <c r="F58" s="246"/>
      <c r="G58" s="246"/>
      <c r="H58" s="8"/>
    </row>
    <row r="59" spans="1:8" x14ac:dyDescent="0.25">
      <c r="D59" s="155"/>
    </row>
    <row r="60" spans="1:8" x14ac:dyDescent="0.25">
      <c r="A60" s="123" t="s">
        <v>39</v>
      </c>
    </row>
    <row r="61" spans="1:8" ht="14.45" customHeight="1" x14ac:dyDescent="0.25">
      <c r="A61" s="124" t="s">
        <v>27</v>
      </c>
      <c r="B61" s="135" t="s">
        <v>30</v>
      </c>
      <c r="D61" s="5"/>
      <c r="E61" s="5"/>
      <c r="F61" s="5"/>
    </row>
    <row r="62" spans="1:8" x14ac:dyDescent="0.25">
      <c r="A62" s="57">
        <v>2023</v>
      </c>
      <c r="B62" s="59">
        <v>9193458</v>
      </c>
      <c r="E62" s="155"/>
      <c r="F62" s="5"/>
    </row>
    <row r="63" spans="1:8" x14ac:dyDescent="0.25">
      <c r="A63" s="58">
        <v>2024</v>
      </c>
      <c r="B63" s="60">
        <v>9330137</v>
      </c>
      <c r="D63" s="158"/>
      <c r="E63" s="155"/>
      <c r="F63" s="64"/>
    </row>
    <row r="64" spans="1:8" x14ac:dyDescent="0.25">
      <c r="A64" s="57">
        <v>2025</v>
      </c>
      <c r="B64" s="59">
        <v>9106894</v>
      </c>
      <c r="D64" s="103"/>
      <c r="E64" s="155"/>
      <c r="F64" s="103"/>
      <c r="G64" s="5"/>
    </row>
    <row r="65" spans="1:8" x14ac:dyDescent="0.25">
      <c r="A65" s="58">
        <v>2026</v>
      </c>
      <c r="B65" s="60">
        <f>ROUND(AVERAGE(B63:B64),0)</f>
        <v>9218516</v>
      </c>
      <c r="D65" s="158"/>
      <c r="E65" s="155"/>
      <c r="F65" s="103"/>
    </row>
    <row r="66" spans="1:8" x14ac:dyDescent="0.25">
      <c r="A66" s="57">
        <v>2027</v>
      </c>
      <c r="B66" s="59">
        <f>ROUNDDOWN(B65*0.97,0)</f>
        <v>8941960</v>
      </c>
      <c r="C66" s="11"/>
      <c r="D66" s="158"/>
      <c r="E66" s="155"/>
      <c r="F66" s="103"/>
      <c r="G66" s="11"/>
    </row>
    <row r="67" spans="1:8" x14ac:dyDescent="0.25">
      <c r="A67" s="58">
        <v>2028</v>
      </c>
      <c r="B67" s="60">
        <f>B66</f>
        <v>8941960</v>
      </c>
      <c r="D67" s="158"/>
      <c r="E67" s="155"/>
      <c r="F67" s="103"/>
      <c r="G67" s="11"/>
    </row>
    <row r="68" spans="1:8" x14ac:dyDescent="0.25">
      <c r="A68" s="57">
        <v>2029</v>
      </c>
      <c r="B68" s="59">
        <f>B66</f>
        <v>8941960</v>
      </c>
      <c r="D68" s="158"/>
      <c r="E68" s="155"/>
      <c r="F68" s="103"/>
      <c r="G68" s="11"/>
    </row>
    <row r="69" spans="1:8" x14ac:dyDescent="0.25">
      <c r="A69" s="58">
        <v>2030</v>
      </c>
      <c r="B69" s="60">
        <f>B66</f>
        <v>8941960</v>
      </c>
      <c r="D69" s="158"/>
      <c r="E69" s="155"/>
      <c r="F69" s="103"/>
      <c r="G69" s="155"/>
    </row>
    <row r="70" spans="1:8" ht="15" customHeight="1" x14ac:dyDescent="0.25">
      <c r="A70" s="255" t="s">
        <v>40</v>
      </c>
      <c r="B70" s="255"/>
      <c r="C70" s="255"/>
      <c r="D70" s="255"/>
      <c r="E70" s="255"/>
      <c r="F70" s="255"/>
      <c r="G70" s="255"/>
      <c r="H70" s="255"/>
    </row>
    <row r="71" spans="1:8" ht="52.15" customHeight="1" x14ac:dyDescent="0.25">
      <c r="A71" s="255" t="s">
        <v>41</v>
      </c>
      <c r="B71" s="255"/>
      <c r="C71" s="255"/>
      <c r="D71" s="255"/>
      <c r="E71" s="255"/>
      <c r="F71" s="255"/>
      <c r="G71" s="255"/>
      <c r="H71" s="255"/>
    </row>
    <row r="73" spans="1:8" x14ac:dyDescent="0.25">
      <c r="A73" s="123" t="s">
        <v>42</v>
      </c>
      <c r="G73" s="5"/>
    </row>
    <row r="74" spans="1:8" ht="14.45" customHeight="1" x14ac:dyDescent="0.25">
      <c r="A74" s="124" t="s">
        <v>27</v>
      </c>
      <c r="B74" s="135" t="s">
        <v>43</v>
      </c>
      <c r="D74" s="5"/>
      <c r="E74" s="5"/>
      <c r="F74" s="5"/>
      <c r="G74" s="5"/>
    </row>
    <row r="75" spans="1:8" x14ac:dyDescent="0.25">
      <c r="A75" s="57">
        <v>2023</v>
      </c>
      <c r="B75" s="59">
        <v>17489792</v>
      </c>
      <c r="D75" s="103"/>
      <c r="E75" s="103"/>
      <c r="F75" s="103"/>
      <c r="G75" s="210"/>
      <c r="H75" s="105"/>
    </row>
    <row r="76" spans="1:8" x14ac:dyDescent="0.25">
      <c r="A76" s="58">
        <v>2024</v>
      </c>
      <c r="B76" s="60">
        <v>16395535</v>
      </c>
      <c r="D76" s="103"/>
      <c r="E76" s="103"/>
      <c r="F76" s="103"/>
      <c r="G76" s="210"/>
    </row>
    <row r="77" spans="1:8" x14ac:dyDescent="0.25">
      <c r="A77" s="57">
        <v>2025</v>
      </c>
      <c r="B77" s="59">
        <v>15287526</v>
      </c>
      <c r="D77" s="103"/>
      <c r="E77" s="103"/>
      <c r="F77" s="103"/>
      <c r="G77" s="210"/>
    </row>
    <row r="78" spans="1:8" x14ac:dyDescent="0.25">
      <c r="A78" s="58">
        <v>2026</v>
      </c>
      <c r="B78" s="60">
        <v>10302447</v>
      </c>
      <c r="D78" s="103"/>
      <c r="E78" s="103"/>
      <c r="F78" s="103"/>
      <c r="G78" s="210"/>
      <c r="H78" s="11"/>
    </row>
    <row r="79" spans="1:8" x14ac:dyDescent="0.25">
      <c r="A79" s="57">
        <v>2027</v>
      </c>
      <c r="B79" s="59">
        <v>13045851</v>
      </c>
      <c r="D79" s="103"/>
      <c r="E79" s="103"/>
      <c r="F79" s="103"/>
      <c r="G79" s="211"/>
      <c r="H79" s="11"/>
    </row>
    <row r="80" spans="1:8" x14ac:dyDescent="0.25">
      <c r="A80" s="58">
        <v>2028</v>
      </c>
      <c r="B80" s="60">
        <v>12657497</v>
      </c>
      <c r="D80" s="103"/>
      <c r="E80" s="103"/>
      <c r="F80" s="103"/>
      <c r="G80" s="211"/>
      <c r="H80" s="11"/>
    </row>
    <row r="81" spans="1:8" x14ac:dyDescent="0.25">
      <c r="A81" s="57">
        <v>2029</v>
      </c>
      <c r="B81" s="59">
        <v>12272327</v>
      </c>
      <c r="D81" s="103"/>
      <c r="E81" s="103"/>
      <c r="F81" s="103"/>
      <c r="G81" s="211"/>
      <c r="H81" s="11"/>
    </row>
    <row r="82" spans="1:8" x14ac:dyDescent="0.25">
      <c r="A82" s="58">
        <v>2030</v>
      </c>
      <c r="B82" s="60">
        <v>9137887</v>
      </c>
      <c r="D82" s="103"/>
      <c r="E82" s="103"/>
      <c r="F82" s="103"/>
      <c r="G82" s="211"/>
      <c r="H82" s="5"/>
    </row>
    <row r="83" spans="1:8" ht="15" customHeight="1" x14ac:dyDescent="0.25">
      <c r="A83" s="259" t="s">
        <v>44</v>
      </c>
      <c r="B83" s="259"/>
      <c r="C83" s="259"/>
      <c r="D83" s="259"/>
      <c r="E83" s="259"/>
      <c r="F83" s="259"/>
      <c r="G83" s="259"/>
      <c r="H83" s="259"/>
    </row>
    <row r="84" spans="1:8" ht="39" customHeight="1" x14ac:dyDescent="0.25">
      <c r="A84" s="255" t="s">
        <v>221</v>
      </c>
      <c r="B84" s="255"/>
      <c r="C84" s="255"/>
      <c r="D84" s="255"/>
      <c r="E84" s="255"/>
      <c r="F84" s="255"/>
      <c r="G84" s="255"/>
      <c r="H84" s="255"/>
    </row>
    <row r="85" spans="1:8" ht="39" customHeight="1" x14ac:dyDescent="0.25">
      <c r="A85" s="255" t="s">
        <v>213</v>
      </c>
      <c r="B85" s="255"/>
      <c r="C85" s="255"/>
      <c r="D85" s="255"/>
      <c r="E85" s="255"/>
      <c r="F85" s="255"/>
      <c r="G85" s="255"/>
      <c r="H85" s="255"/>
    </row>
    <row r="87" spans="1:8" x14ac:dyDescent="0.25">
      <c r="A87" s="123" t="s">
        <v>45</v>
      </c>
    </row>
    <row r="88" spans="1:8" ht="14.45" customHeight="1" x14ac:dyDescent="0.25">
      <c r="A88" s="124" t="s">
        <v>27</v>
      </c>
      <c r="B88" s="135" t="s">
        <v>30</v>
      </c>
      <c r="D88" s="5"/>
      <c r="E88" s="5"/>
    </row>
    <row r="89" spans="1:8" ht="14.45" customHeight="1" x14ac:dyDescent="0.25">
      <c r="A89" s="57">
        <v>2023</v>
      </c>
      <c r="B89" s="59">
        <v>8059631</v>
      </c>
      <c r="E89" s="155"/>
    </row>
    <row r="90" spans="1:8" ht="14.45" customHeight="1" x14ac:dyDescent="0.25">
      <c r="A90" s="58">
        <v>2024</v>
      </c>
      <c r="B90" s="60">
        <v>7452993</v>
      </c>
      <c r="D90" s="154"/>
      <c r="E90" s="155"/>
    </row>
    <row r="91" spans="1:8" ht="14.45" customHeight="1" x14ac:dyDescent="0.25">
      <c r="A91" s="57">
        <v>2025</v>
      </c>
      <c r="B91" s="59">
        <v>6846354</v>
      </c>
      <c r="D91" s="103"/>
      <c r="E91" s="155"/>
    </row>
    <row r="92" spans="1:8" ht="14.45" customHeight="1" x14ac:dyDescent="0.25">
      <c r="A92" s="58">
        <v>2026</v>
      </c>
      <c r="B92" s="60">
        <v>6239715</v>
      </c>
      <c r="D92" s="154"/>
      <c r="E92" s="155"/>
    </row>
    <row r="93" spans="1:8" ht="14.45" customHeight="1" x14ac:dyDescent="0.25">
      <c r="A93" s="57">
        <v>2027</v>
      </c>
      <c r="B93" s="59">
        <v>5633076</v>
      </c>
      <c r="D93" s="154"/>
      <c r="E93" s="155"/>
    </row>
    <row r="94" spans="1:8" ht="14.45" customHeight="1" x14ac:dyDescent="0.25">
      <c r="A94" s="58">
        <v>2028</v>
      </c>
      <c r="B94" s="60">
        <v>5026437</v>
      </c>
      <c r="D94" s="154"/>
      <c r="E94" s="155"/>
    </row>
    <row r="95" spans="1:8" ht="14.45" customHeight="1" x14ac:dyDescent="0.25">
      <c r="A95" s="57">
        <v>2029</v>
      </c>
      <c r="B95" s="59">
        <v>4419799</v>
      </c>
      <c r="D95" s="154"/>
      <c r="E95" s="155"/>
    </row>
    <row r="96" spans="1:8" ht="14.45" customHeight="1" x14ac:dyDescent="0.25">
      <c r="A96" s="58">
        <v>2030</v>
      </c>
      <c r="B96" s="60">
        <v>3813160</v>
      </c>
      <c r="D96" s="154"/>
      <c r="E96" s="155"/>
      <c r="F96" s="64"/>
      <c r="G96" s="5"/>
    </row>
    <row r="97" spans="1:8" ht="15" customHeight="1" x14ac:dyDescent="0.25">
      <c r="A97" s="255" t="s">
        <v>46</v>
      </c>
      <c r="B97" s="255"/>
      <c r="C97" s="255"/>
      <c r="D97" s="255"/>
      <c r="E97" s="255"/>
      <c r="F97" s="255"/>
      <c r="G97" s="255"/>
      <c r="H97" s="255"/>
    </row>
    <row r="98" spans="1:8" ht="37.5" customHeight="1" x14ac:dyDescent="0.25">
      <c r="A98" s="246" t="s">
        <v>222</v>
      </c>
      <c r="B98" s="246"/>
      <c r="C98" s="246"/>
      <c r="D98" s="246"/>
      <c r="E98" s="246"/>
      <c r="F98" s="246"/>
      <c r="G98" s="246"/>
      <c r="H98" s="246"/>
    </row>
    <row r="99" spans="1:8" ht="15" customHeight="1" x14ac:dyDescent="0.25">
      <c r="A99" s="127"/>
      <c r="B99" s="137"/>
      <c r="C99" s="7"/>
    </row>
    <row r="100" spans="1:8" ht="18" customHeight="1" x14ac:dyDescent="0.25">
      <c r="A100" s="128" t="s">
        <v>47</v>
      </c>
      <c r="B100" s="137"/>
      <c r="C100" s="7"/>
    </row>
    <row r="101" spans="1:8" ht="14.45" customHeight="1" x14ac:dyDescent="0.25">
      <c r="A101" s="124" t="s">
        <v>48</v>
      </c>
      <c r="B101" s="135" t="s">
        <v>49</v>
      </c>
      <c r="C101" s="7"/>
      <c r="D101" s="5"/>
      <c r="E101" s="5"/>
      <c r="F101" s="54"/>
    </row>
    <row r="102" spans="1:8" ht="14.45" customHeight="1" x14ac:dyDescent="0.25">
      <c r="A102" s="57">
        <v>2023</v>
      </c>
      <c r="B102" s="59">
        <f>B89-B114</f>
        <v>1863232</v>
      </c>
      <c r="D102" s="103"/>
      <c r="E102" s="155"/>
      <c r="F102" s="64"/>
    </row>
    <row r="103" spans="1:8" ht="14.45" customHeight="1" x14ac:dyDescent="0.25">
      <c r="A103" s="58">
        <v>2024</v>
      </c>
      <c r="B103" s="60">
        <f>B90-B115</f>
        <v>2235894</v>
      </c>
      <c r="D103" s="103"/>
      <c r="E103" s="155"/>
      <c r="F103" s="64"/>
    </row>
    <row r="104" spans="1:8" ht="14.45" customHeight="1" x14ac:dyDescent="0.25">
      <c r="A104" s="57">
        <v>2025</v>
      </c>
      <c r="B104" s="59">
        <f>ROUNDUP(B91*0.25,0)</f>
        <v>1711589</v>
      </c>
      <c r="D104" s="154"/>
      <c r="E104" s="155"/>
      <c r="F104" s="64"/>
    </row>
    <row r="105" spans="1:8" ht="14.45" customHeight="1" x14ac:dyDescent="0.25">
      <c r="A105" s="58">
        <v>2026</v>
      </c>
      <c r="B105" s="60">
        <f>ROUNDUP(B92*0.2,0)</f>
        <v>1247943</v>
      </c>
      <c r="D105" s="154"/>
      <c r="E105" s="155"/>
      <c r="F105" s="64"/>
    </row>
    <row r="106" spans="1:8" ht="14.45" customHeight="1" x14ac:dyDescent="0.25">
      <c r="A106" s="57">
        <v>2027</v>
      </c>
      <c r="B106" s="59">
        <f>ROUNDUP(B93*0.15,0)</f>
        <v>844962</v>
      </c>
      <c r="D106" s="154"/>
      <c r="E106" s="155"/>
      <c r="F106" s="64"/>
    </row>
    <row r="107" spans="1:8" ht="14.45" customHeight="1" x14ac:dyDescent="0.25">
      <c r="A107" s="58">
        <v>2028</v>
      </c>
      <c r="B107" s="60">
        <f>ROUNDUP(B94*0.1,0)</f>
        <v>502644</v>
      </c>
      <c r="D107" s="154"/>
      <c r="E107" s="155"/>
      <c r="F107" s="64"/>
    </row>
    <row r="108" spans="1:8" ht="14.45" customHeight="1" x14ac:dyDescent="0.25">
      <c r="A108" s="57">
        <v>2029</v>
      </c>
      <c r="B108" s="59">
        <f>ROUNDUP(B95*0.05,0)</f>
        <v>220990</v>
      </c>
      <c r="D108" s="154"/>
      <c r="E108" s="155"/>
      <c r="F108" s="64"/>
    </row>
    <row r="109" spans="1:8" ht="14.45" customHeight="1" x14ac:dyDescent="0.25">
      <c r="A109" s="58">
        <v>2030</v>
      </c>
      <c r="B109" s="60">
        <f>ROUNDUP(B96*0,0)</f>
        <v>0</v>
      </c>
      <c r="D109" s="154"/>
      <c r="E109" s="155"/>
      <c r="F109" s="104"/>
      <c r="G109" s="5"/>
    </row>
    <row r="110" spans="1:8" ht="40.5" customHeight="1" x14ac:dyDescent="0.25">
      <c r="A110" s="256" t="s">
        <v>50</v>
      </c>
      <c r="B110" s="257"/>
      <c r="C110" s="257"/>
      <c r="D110" s="257"/>
      <c r="E110" s="257"/>
      <c r="F110" s="257"/>
      <c r="G110" s="257"/>
      <c r="H110" s="257"/>
    </row>
    <row r="111" spans="1:8" ht="15" customHeight="1" x14ac:dyDescent="0.25">
      <c r="B111" s="138"/>
    </row>
    <row r="112" spans="1:8" x14ac:dyDescent="0.25">
      <c r="A112" s="123" t="s">
        <v>51</v>
      </c>
      <c r="B112" s="139"/>
    </row>
    <row r="113" spans="1:8" ht="14.45" customHeight="1" x14ac:dyDescent="0.25">
      <c r="A113" s="124" t="s">
        <v>48</v>
      </c>
      <c r="B113" s="135" t="s">
        <v>33</v>
      </c>
    </row>
    <row r="114" spans="1:8" x14ac:dyDescent="0.25">
      <c r="A114" s="57">
        <v>2023</v>
      </c>
      <c r="B114" s="59">
        <v>6196399</v>
      </c>
      <c r="D114" s="103"/>
      <c r="E114" s="155"/>
    </row>
    <row r="115" spans="1:8" x14ac:dyDescent="0.25">
      <c r="A115" s="58">
        <v>2024</v>
      </c>
      <c r="B115" s="60">
        <v>5217099</v>
      </c>
      <c r="D115" s="103"/>
      <c r="E115" s="155"/>
    </row>
    <row r="116" spans="1:8" x14ac:dyDescent="0.25">
      <c r="A116" s="57">
        <v>2025</v>
      </c>
      <c r="B116" s="59">
        <f t="shared" ref="B116:B121" si="1">B91-B104</f>
        <v>5134765</v>
      </c>
      <c r="D116" s="154"/>
      <c r="E116" s="155"/>
    </row>
    <row r="117" spans="1:8" x14ac:dyDescent="0.25">
      <c r="A117" s="58">
        <v>2026</v>
      </c>
      <c r="B117" s="60">
        <f t="shared" si="1"/>
        <v>4991772</v>
      </c>
      <c r="D117" s="154"/>
      <c r="E117" s="155"/>
    </row>
    <row r="118" spans="1:8" x14ac:dyDescent="0.25">
      <c r="A118" s="57">
        <v>2027</v>
      </c>
      <c r="B118" s="59">
        <f t="shared" si="1"/>
        <v>4788114</v>
      </c>
      <c r="D118" s="154"/>
      <c r="E118" s="155"/>
    </row>
    <row r="119" spans="1:8" x14ac:dyDescent="0.25">
      <c r="A119" s="58">
        <v>2028</v>
      </c>
      <c r="B119" s="60">
        <f t="shared" si="1"/>
        <v>4523793</v>
      </c>
      <c r="D119" s="154"/>
      <c r="E119" s="155"/>
    </row>
    <row r="120" spans="1:8" x14ac:dyDescent="0.25">
      <c r="A120" s="57">
        <v>2029</v>
      </c>
      <c r="B120" s="59">
        <f t="shared" si="1"/>
        <v>4198809</v>
      </c>
      <c r="D120" s="154"/>
      <c r="E120" s="155"/>
    </row>
    <row r="121" spans="1:8" x14ac:dyDescent="0.25">
      <c r="A121" s="58">
        <v>2030</v>
      </c>
      <c r="B121" s="60">
        <f t="shared" si="1"/>
        <v>3813160</v>
      </c>
      <c r="D121" s="154"/>
      <c r="E121" s="155"/>
    </row>
    <row r="122" spans="1:8" ht="30" customHeight="1" x14ac:dyDescent="0.25">
      <c r="A122" s="256" t="s">
        <v>52</v>
      </c>
      <c r="B122" s="257"/>
      <c r="C122" s="257"/>
      <c r="D122" s="257"/>
      <c r="E122" s="257"/>
      <c r="F122" s="257"/>
      <c r="G122" s="257"/>
      <c r="H122" s="257"/>
    </row>
    <row r="123" spans="1:8" x14ac:dyDescent="0.25">
      <c r="B123" s="138"/>
    </row>
    <row r="124" spans="1:8" x14ac:dyDescent="0.25">
      <c r="A124" s="130" t="s">
        <v>53</v>
      </c>
      <c r="B124" s="140"/>
    </row>
    <row r="125" spans="1:8" ht="14.45" customHeight="1" x14ac:dyDescent="0.25">
      <c r="A125" s="124" t="s">
        <v>54</v>
      </c>
      <c r="B125" s="135" t="s">
        <v>55</v>
      </c>
    </row>
    <row r="126" spans="1:8" ht="14.45" customHeight="1" x14ac:dyDescent="0.25">
      <c r="A126" s="57">
        <v>2023</v>
      </c>
      <c r="B126" s="59">
        <v>0</v>
      </c>
      <c r="D126" s="154"/>
      <c r="E126" s="155"/>
    </row>
    <row r="127" spans="1:8" ht="14.45" customHeight="1" x14ac:dyDescent="0.25">
      <c r="A127" s="58">
        <v>2024</v>
      </c>
      <c r="B127" s="60">
        <v>0</v>
      </c>
      <c r="D127" s="154"/>
      <c r="E127" s="155"/>
    </row>
    <row r="128" spans="1:8" ht="14.45" customHeight="1" x14ac:dyDescent="0.25">
      <c r="A128" s="57">
        <v>2025</v>
      </c>
      <c r="B128" s="59">
        <v>26280</v>
      </c>
      <c r="D128" s="154"/>
      <c r="E128" s="155"/>
      <c r="F128" s="64"/>
    </row>
    <row r="129" spans="1:8" ht="14.45" customHeight="1" x14ac:dyDescent="0.25">
      <c r="A129" s="58">
        <v>2026</v>
      </c>
      <c r="B129" s="60">
        <f>ROUNDDOWN((B8-B23-B37-B50-B63-B76)*0.03,0)</f>
        <v>855280</v>
      </c>
      <c r="D129" s="154"/>
      <c r="E129" s="155"/>
      <c r="F129" s="64"/>
    </row>
    <row r="130" spans="1:8" ht="14.45" customHeight="1" x14ac:dyDescent="0.25">
      <c r="A130" s="57">
        <v>2027</v>
      </c>
      <c r="B130" s="59">
        <f>ROUNDDOWN((B9-B24-B38-B51-B64-B77)*0.03,0)</f>
        <v>762784</v>
      </c>
      <c r="D130" s="154"/>
      <c r="E130" s="155"/>
      <c r="F130" s="64"/>
    </row>
    <row r="131" spans="1:8" ht="14.45" customHeight="1" x14ac:dyDescent="0.25">
      <c r="A131" s="58">
        <v>2028</v>
      </c>
      <c r="B131" s="60">
        <f>ROUNDDOWN((B10-B25-B39-B52-B65-B78)*0.03,0)</f>
        <v>776553</v>
      </c>
      <c r="D131" s="154"/>
      <c r="E131" s="155"/>
      <c r="F131" s="64"/>
    </row>
    <row r="132" spans="1:8" ht="14.45" customHeight="1" x14ac:dyDescent="0.25">
      <c r="A132" s="57">
        <v>2029</v>
      </c>
      <c r="B132" s="59">
        <f>ROUNDDOWN((B11-B26-B40-B53-B66-B79)*0.03,0)</f>
        <v>607468</v>
      </c>
      <c r="D132" s="154"/>
      <c r="E132" s="155"/>
      <c r="F132" s="64"/>
    </row>
    <row r="133" spans="1:8" ht="14.45" customHeight="1" x14ac:dyDescent="0.25">
      <c r="A133" s="58">
        <v>2030</v>
      </c>
      <c r="B133" s="60">
        <f>ROUNDDOWN((B12-B27-B41-B54-B67-B80)*0.03,0)</f>
        <v>482870</v>
      </c>
      <c r="C133" s="5"/>
      <c r="D133" s="154"/>
      <c r="E133" s="155"/>
      <c r="F133" s="64"/>
    </row>
    <row r="134" spans="1:8" s="4" customFormat="1" ht="15" customHeight="1" x14ac:dyDescent="0.25">
      <c r="A134" s="246" t="s">
        <v>56</v>
      </c>
      <c r="B134" s="246"/>
      <c r="C134" s="246"/>
      <c r="D134" s="246"/>
      <c r="E134" s="246"/>
      <c r="F134" s="246"/>
      <c r="G134" s="246"/>
      <c r="H134" s="246"/>
    </row>
    <row r="135" spans="1:8" ht="51" customHeight="1" x14ac:dyDescent="0.25">
      <c r="A135" s="255" t="s">
        <v>218</v>
      </c>
      <c r="B135" s="255"/>
      <c r="C135" s="255"/>
      <c r="D135" s="255"/>
      <c r="E135" s="255"/>
      <c r="F135" s="255"/>
      <c r="G135" s="255"/>
      <c r="H135" s="255"/>
    </row>
    <row r="136" spans="1:8" ht="37.5" customHeight="1" x14ac:dyDescent="0.25">
      <c r="A136" s="246" t="s">
        <v>57</v>
      </c>
      <c r="B136" s="246"/>
      <c r="C136" s="246"/>
      <c r="D136" s="246"/>
      <c r="E136" s="246"/>
      <c r="F136" s="246"/>
      <c r="G136" s="246"/>
      <c r="H136" s="246"/>
    </row>
    <row r="137" spans="1:8" x14ac:dyDescent="0.25">
      <c r="A137" s="246" t="s">
        <v>58</v>
      </c>
      <c r="B137" s="246"/>
      <c r="C137" s="246"/>
      <c r="D137" s="246"/>
      <c r="E137" s="246"/>
      <c r="F137" s="246"/>
      <c r="G137" s="246"/>
      <c r="H137" s="246"/>
    </row>
    <row r="138" spans="1:8" ht="27" customHeight="1" x14ac:dyDescent="0.25">
      <c r="A138" s="246" t="s">
        <v>59</v>
      </c>
      <c r="B138" s="246"/>
      <c r="C138" s="246"/>
      <c r="D138" s="246"/>
      <c r="E138" s="246"/>
      <c r="F138" s="246"/>
      <c r="G138" s="246"/>
      <c r="H138" s="246"/>
    </row>
    <row r="139" spans="1:8" ht="15" customHeight="1" x14ac:dyDescent="0.25">
      <c r="A139" s="246" t="s">
        <v>60</v>
      </c>
      <c r="B139" s="246"/>
      <c r="C139" s="246"/>
      <c r="D139" s="246"/>
      <c r="E139" s="246"/>
      <c r="F139" s="246"/>
      <c r="G139" s="246"/>
      <c r="H139" s="246"/>
    </row>
    <row r="140" spans="1:8" x14ac:dyDescent="0.25">
      <c r="A140" s="246" t="s">
        <v>61</v>
      </c>
      <c r="B140" s="246"/>
      <c r="C140" s="246"/>
      <c r="D140" s="246"/>
      <c r="E140" s="246"/>
      <c r="F140" s="246"/>
      <c r="G140" s="246"/>
      <c r="H140" s="246"/>
    </row>
    <row r="141" spans="1:8" ht="15" customHeight="1" x14ac:dyDescent="0.25">
      <c r="A141" s="246" t="s">
        <v>62</v>
      </c>
      <c r="B141" s="246"/>
      <c r="C141" s="246"/>
      <c r="D141" s="246"/>
      <c r="E141" s="246"/>
      <c r="F141" s="246"/>
      <c r="G141" s="246"/>
      <c r="H141" s="246"/>
    </row>
    <row r="142" spans="1:8" ht="18" customHeight="1" x14ac:dyDescent="0.25">
      <c r="A142" s="131"/>
      <c r="B142" s="141"/>
      <c r="C142" s="6"/>
      <c r="D142" s="6"/>
      <c r="E142" s="6"/>
      <c r="F142" s="6"/>
    </row>
    <row r="143" spans="1:8" ht="18" customHeight="1" x14ac:dyDescent="0.25">
      <c r="A143" s="123" t="s">
        <v>63</v>
      </c>
      <c r="B143" s="134"/>
      <c r="E143" s="207"/>
    </row>
    <row r="144" spans="1:8" x14ac:dyDescent="0.25">
      <c r="A144" s="162" t="s">
        <v>48</v>
      </c>
      <c r="B144" s="163" t="s">
        <v>33</v>
      </c>
    </row>
    <row r="145" spans="1:2" ht="14.45" customHeight="1" x14ac:dyDescent="0.25">
      <c r="A145" s="57">
        <v>2023</v>
      </c>
      <c r="B145" s="59">
        <f>ROUND(B7-SUM(B22,B36,B49,B62,B75,B102),0)</f>
        <v>30103032</v>
      </c>
    </row>
    <row r="146" spans="1:2" ht="14.45" customHeight="1" x14ac:dyDescent="0.25">
      <c r="A146" s="58">
        <v>2024</v>
      </c>
      <c r="B146" s="60">
        <f>ROUND(B8-SUM(B23,B37,B50,B63,B76,B103),0)</f>
        <v>26273468</v>
      </c>
    </row>
    <row r="147" spans="1:2" ht="14.45" customHeight="1" x14ac:dyDescent="0.25">
      <c r="A147" s="57">
        <v>2025</v>
      </c>
      <c r="B147" s="59">
        <f>ROUND(B9-SUM(B24,B38,B51,B64,B77,B104),0)</f>
        <v>23714545</v>
      </c>
    </row>
    <row r="148" spans="1:2" ht="14.45" customHeight="1" x14ac:dyDescent="0.25">
      <c r="A148" s="58">
        <v>2026</v>
      </c>
      <c r="B148" s="60">
        <v>19737407</v>
      </c>
    </row>
    <row r="149" spans="1:2" ht="14.45" customHeight="1" x14ac:dyDescent="0.25">
      <c r="A149" s="57">
        <v>2027</v>
      </c>
      <c r="B149" s="59">
        <v>15841001</v>
      </c>
    </row>
    <row r="150" spans="1:2" ht="14.45" customHeight="1" x14ac:dyDescent="0.25">
      <c r="A150" s="58">
        <v>2028</v>
      </c>
      <c r="B150" s="60">
        <v>11625120</v>
      </c>
    </row>
    <row r="151" spans="1:2" ht="14.45" customHeight="1" x14ac:dyDescent="0.25">
      <c r="A151" s="57">
        <v>2029</v>
      </c>
      <c r="B151" s="59">
        <v>8228391</v>
      </c>
    </row>
    <row r="152" spans="1:2" ht="14.45" customHeight="1" x14ac:dyDescent="0.25">
      <c r="A152" s="58">
        <v>2030</v>
      </c>
      <c r="B152" s="60">
        <v>7520268</v>
      </c>
    </row>
    <row r="153" spans="1:2" ht="78" customHeight="1" x14ac:dyDescent="0.25">
      <c r="A153" s="253" t="s">
        <v>64</v>
      </c>
      <c r="B153" s="253"/>
    </row>
    <row r="154" spans="1:2" ht="15" customHeight="1" x14ac:dyDescent="0.25">
      <c r="B154" s="138"/>
    </row>
    <row r="155" spans="1:2" x14ac:dyDescent="0.25">
      <c r="A155" s="123" t="s">
        <v>65</v>
      </c>
    </row>
    <row r="156" spans="1:2" ht="14.45" customHeight="1" x14ac:dyDescent="0.25">
      <c r="A156" s="124" t="s">
        <v>27</v>
      </c>
      <c r="B156" s="135" t="s">
        <v>49</v>
      </c>
    </row>
    <row r="157" spans="1:2" ht="14.45" customHeight="1" x14ac:dyDescent="0.25">
      <c r="A157" s="57">
        <v>2023</v>
      </c>
      <c r="B157" s="59">
        <f t="shared" ref="B157:B164" si="2">B145-B126</f>
        <v>30103032</v>
      </c>
    </row>
    <row r="158" spans="1:2" ht="14.45" customHeight="1" x14ac:dyDescent="0.25">
      <c r="A158" s="58">
        <v>2024</v>
      </c>
      <c r="B158" s="60">
        <f t="shared" si="2"/>
        <v>26273468</v>
      </c>
    </row>
    <row r="159" spans="1:2" ht="14.45" customHeight="1" x14ac:dyDescent="0.25">
      <c r="A159" s="57">
        <v>2025</v>
      </c>
      <c r="B159" s="59">
        <f t="shared" si="2"/>
        <v>23688265</v>
      </c>
    </row>
    <row r="160" spans="1:2" ht="14.45" customHeight="1" x14ac:dyDescent="0.25">
      <c r="A160" s="58">
        <v>2026</v>
      </c>
      <c r="B160" s="60">
        <f>B148-B129</f>
        <v>18882127</v>
      </c>
    </row>
    <row r="161" spans="1:4" ht="14.45" customHeight="1" x14ac:dyDescent="0.25">
      <c r="A161" s="57">
        <v>2027</v>
      </c>
      <c r="B161" s="59">
        <f t="shared" si="2"/>
        <v>15078217</v>
      </c>
      <c r="D161" s="154"/>
    </row>
    <row r="162" spans="1:4" ht="14.45" customHeight="1" x14ac:dyDescent="0.25">
      <c r="A162" s="58">
        <v>2028</v>
      </c>
      <c r="B162" s="60">
        <f t="shared" si="2"/>
        <v>10848567</v>
      </c>
      <c r="D162" s="154"/>
    </row>
    <row r="163" spans="1:4" ht="14.45" customHeight="1" x14ac:dyDescent="0.25">
      <c r="A163" s="57">
        <v>2029</v>
      </c>
      <c r="B163" s="59">
        <f t="shared" si="2"/>
        <v>7620923</v>
      </c>
      <c r="D163" s="154"/>
    </row>
    <row r="164" spans="1:4" ht="14.45" customHeight="1" x14ac:dyDescent="0.25">
      <c r="A164" s="58">
        <v>2030</v>
      </c>
      <c r="B164" s="60">
        <f t="shared" si="2"/>
        <v>7037398</v>
      </c>
      <c r="D164" s="154"/>
    </row>
    <row r="165" spans="1:4" s="175" customFormat="1" ht="57.75" customHeight="1" x14ac:dyDescent="0.25">
      <c r="A165" s="254" t="s">
        <v>66</v>
      </c>
      <c r="B165" s="254"/>
    </row>
    <row r="166" spans="1:4" ht="14.45" customHeight="1" x14ac:dyDescent="0.25"/>
    <row r="167" spans="1:4" ht="14.45" customHeight="1" x14ac:dyDescent="0.25">
      <c r="A167" s="172" t="s">
        <v>67</v>
      </c>
    </row>
    <row r="168" spans="1:4" ht="14.45" customHeight="1" x14ac:dyDescent="0.25">
      <c r="A168" s="124" t="s">
        <v>27</v>
      </c>
      <c r="B168" s="135" t="s">
        <v>33</v>
      </c>
    </row>
    <row r="169" spans="1:4" ht="14.45" customHeight="1" x14ac:dyDescent="0.25">
      <c r="A169" s="57">
        <v>2023</v>
      </c>
      <c r="B169" s="59">
        <f>ROUND(B10*0.1,0)</f>
        <v>4899760</v>
      </c>
      <c r="D169" s="154"/>
    </row>
    <row r="170" spans="1:4" ht="14.45" customHeight="1" x14ac:dyDescent="0.25">
      <c r="A170" s="58" t="s">
        <v>215</v>
      </c>
      <c r="B170" s="161">
        <f>1317000+2222832</f>
        <v>3539832</v>
      </c>
      <c r="C170" s="67"/>
      <c r="D170" s="154"/>
    </row>
    <row r="171" spans="1:4" ht="14.45" customHeight="1" x14ac:dyDescent="0.25">
      <c r="A171" s="57">
        <v>2025</v>
      </c>
      <c r="B171" s="59">
        <f>ROUNDDOWN(B12*0.1,0)</f>
        <v>3967908</v>
      </c>
      <c r="D171" s="154"/>
    </row>
    <row r="172" spans="1:4" ht="14.45" customHeight="1" x14ac:dyDescent="0.25">
      <c r="A172" s="58">
        <v>2026</v>
      </c>
      <c r="B172" s="60">
        <f>ROUND(B13*0.1,0)</f>
        <v>3489843</v>
      </c>
      <c r="D172" s="154"/>
    </row>
    <row r="173" spans="1:4" ht="14.45" customHeight="1" x14ac:dyDescent="0.25">
      <c r="A173" s="57">
        <v>2027</v>
      </c>
      <c r="B173" s="59">
        <f>ROUND(B14*0.1,0)</f>
        <v>3011778</v>
      </c>
      <c r="D173" s="154"/>
    </row>
    <row r="174" spans="1:4" ht="14.45" customHeight="1" x14ac:dyDescent="0.25">
      <c r="A174" s="58">
        <v>2028</v>
      </c>
      <c r="B174" s="60">
        <f>ROUND(B15*0.1,0)</f>
        <v>2969371</v>
      </c>
      <c r="D174" s="154"/>
    </row>
    <row r="175" spans="1:4" ht="15" customHeight="1" x14ac:dyDescent="0.25">
      <c r="A175" s="57">
        <v>2029</v>
      </c>
      <c r="B175" s="59">
        <f>ROUND(B16*0.1,0)</f>
        <v>2844964</v>
      </c>
      <c r="D175" s="154"/>
    </row>
    <row r="176" spans="1:4" x14ac:dyDescent="0.25">
      <c r="A176" s="58">
        <v>2030</v>
      </c>
      <c r="B176" s="60">
        <f>ROUND(B17*0.1,0)</f>
        <v>2720557</v>
      </c>
      <c r="D176" s="154"/>
    </row>
    <row r="177" spans="1:4" ht="14.45" customHeight="1" x14ac:dyDescent="0.25">
      <c r="A177" s="258" t="s">
        <v>68</v>
      </c>
      <c r="B177" s="258"/>
      <c r="C177" s="258"/>
      <c r="D177" s="258"/>
    </row>
    <row r="178" spans="1:4" ht="116.25" customHeight="1" x14ac:dyDescent="0.25">
      <c r="A178" s="246" t="s">
        <v>216</v>
      </c>
      <c r="B178" s="246"/>
      <c r="C178" s="174"/>
      <c r="D178" s="174"/>
    </row>
    <row r="179" spans="1:4" ht="14.45" customHeight="1" x14ac:dyDescent="0.25"/>
    <row r="180" spans="1:4" ht="14.45" customHeight="1" x14ac:dyDescent="0.25">
      <c r="A180" s="172" t="s">
        <v>69</v>
      </c>
    </row>
    <row r="181" spans="1:4" ht="14.45" customHeight="1" x14ac:dyDescent="0.25">
      <c r="A181" s="124" t="s">
        <v>27</v>
      </c>
      <c r="B181" s="135" t="s">
        <v>30</v>
      </c>
    </row>
    <row r="182" spans="1:4" ht="14.45" customHeight="1" x14ac:dyDescent="0.25">
      <c r="A182" s="57">
        <v>2023</v>
      </c>
      <c r="B182" s="59">
        <f>ROUNDDOWN(B157-B114-36505,0)</f>
        <v>23870128</v>
      </c>
      <c r="D182" s="154"/>
    </row>
    <row r="183" spans="1:4" ht="14.45" customHeight="1" x14ac:dyDescent="0.25">
      <c r="A183" s="58">
        <v>2024</v>
      </c>
      <c r="B183" s="60">
        <f>ROUNDDOWN(B158-B115+36502,0)</f>
        <v>21092871</v>
      </c>
      <c r="C183" s="11"/>
      <c r="D183" s="154"/>
    </row>
    <row r="184" spans="1:4" ht="14.45" customHeight="1" x14ac:dyDescent="0.25">
      <c r="A184" s="57">
        <v>2025</v>
      </c>
      <c r="B184" s="59">
        <f>ROUNDUP(B159-B116,0)</f>
        <v>18553500</v>
      </c>
      <c r="C184" s="11"/>
      <c r="D184" s="154"/>
    </row>
    <row r="185" spans="1:4" ht="14.45" customHeight="1" x14ac:dyDescent="0.25">
      <c r="A185" s="58">
        <v>2026</v>
      </c>
      <c r="B185" s="60">
        <f>ROUNDUP(B160-B117,0)</f>
        <v>13890355</v>
      </c>
      <c r="C185" s="11"/>
      <c r="D185" s="154"/>
    </row>
    <row r="186" spans="1:4" x14ac:dyDescent="0.25">
      <c r="A186" s="57">
        <v>2027</v>
      </c>
      <c r="B186" s="59">
        <f>B161-B118</f>
        <v>10290103</v>
      </c>
      <c r="C186" s="11"/>
      <c r="D186" s="154"/>
    </row>
    <row r="187" spans="1:4" x14ac:dyDescent="0.25">
      <c r="A187" s="58">
        <v>2028</v>
      </c>
      <c r="B187" s="60">
        <f>B162-B119</f>
        <v>6324774</v>
      </c>
      <c r="D187" s="154"/>
    </row>
    <row r="188" spans="1:4" x14ac:dyDescent="0.25">
      <c r="A188" s="57">
        <v>2029</v>
      </c>
      <c r="B188" s="59">
        <f>B163-B120</f>
        <v>3422114</v>
      </c>
      <c r="D188" s="154"/>
    </row>
    <row r="189" spans="1:4" x14ac:dyDescent="0.25">
      <c r="A189" s="58">
        <v>2030</v>
      </c>
      <c r="B189" s="60">
        <f>B164-B121</f>
        <v>3224238</v>
      </c>
      <c r="D189" s="154"/>
    </row>
    <row r="190" spans="1:4" ht="50.25" customHeight="1" x14ac:dyDescent="0.25">
      <c r="A190" s="252" t="s">
        <v>170</v>
      </c>
      <c r="B190" s="252"/>
      <c r="C190" s="171"/>
      <c r="D190" s="171"/>
    </row>
    <row r="191" spans="1:4" ht="49.5" customHeight="1" x14ac:dyDescent="0.25">
      <c r="A191" s="246" t="s">
        <v>184</v>
      </c>
      <c r="B191" s="246"/>
    </row>
  </sheetData>
  <sheetProtection algorithmName="SHA-512" hashValue="2sMfj0N70azXdKHWCzC6T2QE/wRE0S3QN5NNpkykXEE4rwN3SHJLR1HG4MKPkfz5CjRrwxWcXMLeSrWb6CH5hA==" saltValue="aP+6njuU8OqKNsOxsB/EmQ==" spinCount="100000" sheet="1" objects="1" scenarios="1"/>
  <mergeCells count="31">
    <mergeCell ref="A140:H140"/>
    <mergeCell ref="A141:H141"/>
    <mergeCell ref="A177:D177"/>
    <mergeCell ref="A57:H57"/>
    <mergeCell ref="A58:G58"/>
    <mergeCell ref="A70:H70"/>
    <mergeCell ref="A71:H71"/>
    <mergeCell ref="A137:H137"/>
    <mergeCell ref="A83:H83"/>
    <mergeCell ref="A138:H138"/>
    <mergeCell ref="A139:H139"/>
    <mergeCell ref="A85:H85"/>
    <mergeCell ref="A134:H134"/>
    <mergeCell ref="A135:H135"/>
    <mergeCell ref="A136:H136"/>
    <mergeCell ref="A30:H30"/>
    <mergeCell ref="A31:H31"/>
    <mergeCell ref="A44:H44"/>
    <mergeCell ref="A3:H3"/>
    <mergeCell ref="A122:H122"/>
    <mergeCell ref="A110:H110"/>
    <mergeCell ref="A84:H84"/>
    <mergeCell ref="A97:H97"/>
    <mergeCell ref="A98:H98"/>
    <mergeCell ref="A18:H18"/>
    <mergeCell ref="A45:H45"/>
    <mergeCell ref="A191:B191"/>
    <mergeCell ref="A190:B190"/>
    <mergeCell ref="A178:B178"/>
    <mergeCell ref="A153:B153"/>
    <mergeCell ref="A165:B165"/>
  </mergeCells>
  <hyperlinks>
    <hyperlink ref="A32" r:id="rId1" tooltip="https://content.govdelivery.com/accounts/waecy/bulletins/37da880" display="*Matches the updated APCR auction supply guidance through 2026 (govdelivery.com)" xr:uid="{09FDCA41-0D61-4AE6-B648-1078C34F1354}"/>
    <hyperlink ref="A83:H83" r:id="rId2" display="Source: Allowance Allocation to Electric Utilities for the First Compliance Period (Revised). " xr:uid="{BA59FC27-EB99-42B0-87E0-0873A6A29296}"/>
  </hyperlinks>
  <pageMargins left="0.7" right="0.7"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8A490-622D-492A-B941-1E668D3D19F2}">
  <dimension ref="A1:I265"/>
  <sheetViews>
    <sheetView showGridLines="0" topLeftCell="A201" zoomScale="85" zoomScaleNormal="85" workbookViewId="0">
      <selection activeCell="K203" sqref="K203"/>
    </sheetView>
  </sheetViews>
  <sheetFormatPr defaultRowHeight="15" x14ac:dyDescent="0.25"/>
  <cols>
    <col min="1" max="1" width="14" customWidth="1"/>
    <col min="2" max="2" width="14" bestFit="1" customWidth="1"/>
    <col min="3" max="3" width="17.28515625" customWidth="1"/>
    <col min="4" max="4" width="16.85546875" customWidth="1"/>
    <col min="5" max="5" width="14.5703125" customWidth="1"/>
    <col min="6" max="6" width="18.28515625" bestFit="1" customWidth="1"/>
    <col min="7" max="7" width="17.42578125" bestFit="1" customWidth="1"/>
    <col min="8" max="8" width="16.28515625" bestFit="1" customWidth="1"/>
    <col min="9" max="9" width="7.42578125" customWidth="1"/>
    <col min="10" max="10" width="17.28515625" customWidth="1"/>
    <col min="11" max="11" width="16.5703125" bestFit="1" customWidth="1"/>
    <col min="12" max="12" width="18.28515625" customWidth="1"/>
  </cols>
  <sheetData>
    <row r="1" spans="1:9" ht="21" x14ac:dyDescent="0.35">
      <c r="A1" s="1" t="s">
        <v>203</v>
      </c>
    </row>
    <row r="2" spans="1:9" x14ac:dyDescent="0.25">
      <c r="A2" s="65">
        <v>45835</v>
      </c>
      <c r="B2" s="108" t="s">
        <v>148</v>
      </c>
      <c r="F2" s="45"/>
    </row>
    <row r="3" spans="1:9" ht="30" customHeight="1" x14ac:dyDescent="0.25">
      <c r="A3" s="250" t="s">
        <v>158</v>
      </c>
      <c r="B3" s="250"/>
      <c r="C3" s="250"/>
      <c r="D3" s="250"/>
      <c r="E3" s="250"/>
      <c r="F3" s="250"/>
      <c r="G3" s="250"/>
      <c r="H3" s="250"/>
    </row>
    <row r="4" spans="1:9" x14ac:dyDescent="0.25">
      <c r="A4" s="250" t="s">
        <v>70</v>
      </c>
      <c r="B4" s="250"/>
      <c r="C4" s="250"/>
      <c r="D4" s="250"/>
      <c r="E4" s="250"/>
      <c r="F4" s="250"/>
      <c r="G4" s="250"/>
      <c r="H4" s="250"/>
    </row>
    <row r="5" spans="1:9" x14ac:dyDescent="0.25">
      <c r="A5" s="170"/>
      <c r="B5" s="170"/>
      <c r="C5" s="170"/>
      <c r="D5" s="170"/>
      <c r="E5" s="170"/>
      <c r="F5" s="170"/>
      <c r="G5" s="170"/>
      <c r="H5" s="170"/>
    </row>
    <row r="6" spans="1:9" ht="71.45" customHeight="1" x14ac:dyDescent="0.25">
      <c r="A6" s="260" t="s">
        <v>71</v>
      </c>
      <c r="B6" s="261"/>
      <c r="C6" s="261"/>
      <c r="D6" s="261"/>
      <c r="E6" s="261"/>
      <c r="F6" s="261"/>
      <c r="G6" s="261"/>
      <c r="H6" s="261"/>
    </row>
    <row r="7" spans="1:9" x14ac:dyDescent="0.25">
      <c r="A7" s="12" t="s">
        <v>72</v>
      </c>
      <c r="B7" s="170"/>
      <c r="C7" s="170"/>
      <c r="D7" s="170"/>
      <c r="E7" s="170"/>
      <c r="F7" s="170"/>
      <c r="G7" s="170"/>
      <c r="H7" s="170"/>
    </row>
    <row r="8" spans="1:9" ht="30" customHeight="1" x14ac:dyDescent="0.25">
      <c r="A8" s="91" t="s">
        <v>73</v>
      </c>
      <c r="B8" s="250" t="s">
        <v>159</v>
      </c>
      <c r="C8" s="250"/>
      <c r="D8" s="250"/>
      <c r="E8" s="250"/>
      <c r="F8" s="250"/>
      <c r="G8" s="250"/>
      <c r="H8" s="250"/>
      <c r="I8" s="250"/>
    </row>
    <row r="9" spans="1:9" ht="32.25" customHeight="1" x14ac:dyDescent="0.25">
      <c r="A9" s="91" t="s">
        <v>73</v>
      </c>
      <c r="B9" s="250" t="s">
        <v>220</v>
      </c>
      <c r="C9" s="250"/>
      <c r="D9" s="250"/>
      <c r="E9" s="250"/>
      <c r="F9" s="250"/>
      <c r="G9" s="250"/>
      <c r="H9" s="250"/>
      <c r="I9" s="250"/>
    </row>
    <row r="10" spans="1:9" ht="15" customHeight="1" x14ac:dyDescent="0.25">
      <c r="A10" s="91" t="s">
        <v>73</v>
      </c>
      <c r="B10" s="152" t="s">
        <v>74</v>
      </c>
      <c r="C10" s="170"/>
      <c r="D10" s="170"/>
      <c r="E10" s="170"/>
      <c r="F10" s="170"/>
      <c r="G10" s="170"/>
      <c r="H10" s="170"/>
      <c r="I10" s="170"/>
    </row>
    <row r="11" spans="1:9" ht="30" customHeight="1" x14ac:dyDescent="0.25">
      <c r="A11" s="91" t="s">
        <v>73</v>
      </c>
      <c r="B11" s="250" t="s">
        <v>75</v>
      </c>
      <c r="C11" s="250"/>
      <c r="D11" s="250"/>
      <c r="E11" s="250"/>
      <c r="F11" s="250"/>
      <c r="G11" s="250"/>
      <c r="H11" s="250"/>
      <c r="I11" s="250"/>
    </row>
    <row r="12" spans="1:9" x14ac:dyDescent="0.25">
      <c r="A12" s="91"/>
      <c r="B12" s="170"/>
      <c r="C12" s="170"/>
      <c r="D12" s="170"/>
      <c r="E12" s="170"/>
      <c r="F12" s="170"/>
      <c r="G12" s="170"/>
      <c r="H12" s="170"/>
      <c r="I12" s="170"/>
    </row>
    <row r="13" spans="1:9" ht="17.25" x14ac:dyDescent="0.3">
      <c r="A13" s="10" t="s">
        <v>76</v>
      </c>
    </row>
    <row r="15" spans="1:9" x14ac:dyDescent="0.25">
      <c r="A15" s="3" t="s">
        <v>185</v>
      </c>
    </row>
    <row r="16" spans="1:9" ht="27.75" customHeight="1" x14ac:dyDescent="0.25">
      <c r="A16" s="23" t="s">
        <v>77</v>
      </c>
      <c r="B16" s="24" t="s">
        <v>91</v>
      </c>
      <c r="C16" s="24" t="s">
        <v>78</v>
      </c>
      <c r="D16" s="24" t="s">
        <v>79</v>
      </c>
      <c r="E16" s="24" t="s">
        <v>80</v>
      </c>
      <c r="F16" s="24" t="s">
        <v>81</v>
      </c>
      <c r="G16" s="24" t="s">
        <v>82</v>
      </c>
      <c r="H16" s="25" t="s">
        <v>83</v>
      </c>
    </row>
    <row r="17" spans="1:9" x14ac:dyDescent="0.25">
      <c r="A17" s="26" t="s">
        <v>86</v>
      </c>
      <c r="B17" s="27">
        <v>45511</v>
      </c>
      <c r="C17" s="34">
        <v>0</v>
      </c>
      <c r="D17" s="34">
        <v>0</v>
      </c>
      <c r="E17" s="34">
        <v>0</v>
      </c>
      <c r="F17" s="70">
        <v>56.16</v>
      </c>
      <c r="G17" s="70">
        <v>72.150000000000006</v>
      </c>
      <c r="H17" s="73">
        <v>0</v>
      </c>
    </row>
    <row r="18" spans="1:9" x14ac:dyDescent="0.25">
      <c r="A18" s="28" t="s">
        <v>92</v>
      </c>
      <c r="B18" s="29">
        <v>45539</v>
      </c>
      <c r="C18" s="35">
        <v>5260000</v>
      </c>
      <c r="D18" s="35"/>
      <c r="E18" s="35">
        <v>0</v>
      </c>
      <c r="F18" s="71">
        <v>29.88</v>
      </c>
      <c r="G18" s="71">
        <v>0</v>
      </c>
      <c r="H18" s="72">
        <f>C18*F18</f>
        <v>157168800</v>
      </c>
    </row>
    <row r="19" spans="1:9" x14ac:dyDescent="0.25">
      <c r="A19" s="26" t="s">
        <v>93</v>
      </c>
      <c r="B19" s="27">
        <v>45567</v>
      </c>
      <c r="C19" s="34">
        <v>0</v>
      </c>
      <c r="D19" s="34">
        <v>0</v>
      </c>
      <c r="E19" s="34">
        <v>1022000</v>
      </c>
      <c r="F19" s="70">
        <v>56.16</v>
      </c>
      <c r="G19" s="70">
        <v>72.150000000000006</v>
      </c>
      <c r="H19" s="157">
        <f>E19*F19</f>
        <v>57395520</v>
      </c>
    </row>
    <row r="20" spans="1:9" x14ac:dyDescent="0.25">
      <c r="A20" s="28" t="s">
        <v>94</v>
      </c>
      <c r="B20" s="63" t="s">
        <v>95</v>
      </c>
      <c r="C20" s="35">
        <v>0</v>
      </c>
      <c r="D20" s="35">
        <v>0</v>
      </c>
      <c r="E20" s="35">
        <v>0</v>
      </c>
      <c r="F20" s="71"/>
      <c r="G20" s="71">
        <v>0</v>
      </c>
      <c r="H20" s="74">
        <v>0</v>
      </c>
    </row>
    <row r="21" spans="1:9" x14ac:dyDescent="0.25">
      <c r="A21" s="26" t="s">
        <v>86</v>
      </c>
      <c r="B21" s="27">
        <v>45602</v>
      </c>
      <c r="C21" s="34"/>
      <c r="D21" s="34">
        <v>0</v>
      </c>
      <c r="E21" s="34">
        <v>0</v>
      </c>
      <c r="F21" s="70">
        <v>56.16</v>
      </c>
      <c r="G21" s="70">
        <v>72.150000000000006</v>
      </c>
      <c r="H21" s="73">
        <v>0</v>
      </c>
    </row>
    <row r="22" spans="1:9" x14ac:dyDescent="0.25">
      <c r="A22" s="28" t="s">
        <v>96</v>
      </c>
      <c r="B22" s="29">
        <v>45630</v>
      </c>
      <c r="C22" s="35">
        <v>5312871</v>
      </c>
      <c r="D22" s="35">
        <v>2222832</v>
      </c>
      <c r="E22" s="35">
        <v>0</v>
      </c>
      <c r="F22" s="71">
        <v>40.26</v>
      </c>
      <c r="G22" s="71">
        <v>26</v>
      </c>
      <c r="H22" s="72">
        <f>(C22*F22)+(D22*G22)</f>
        <v>271689818.45999998</v>
      </c>
    </row>
    <row r="23" spans="1:9" x14ac:dyDescent="0.25">
      <c r="A23" s="26" t="s">
        <v>86</v>
      </c>
      <c r="B23" s="27">
        <v>45707</v>
      </c>
      <c r="C23" s="34">
        <v>0</v>
      </c>
      <c r="D23" s="34">
        <v>0</v>
      </c>
      <c r="E23" s="34"/>
      <c r="F23" s="70">
        <v>56.16</v>
      </c>
      <c r="G23" s="70">
        <v>72.150000000000006</v>
      </c>
      <c r="H23" s="73">
        <v>0</v>
      </c>
    </row>
    <row r="24" spans="1:9" x14ac:dyDescent="0.25">
      <c r="A24" s="28" t="s">
        <v>99</v>
      </c>
      <c r="B24" s="29">
        <v>45721</v>
      </c>
      <c r="C24" s="35">
        <v>4600000</v>
      </c>
      <c r="D24" s="35">
        <v>0</v>
      </c>
      <c r="E24" s="35">
        <v>0</v>
      </c>
      <c r="F24" s="71">
        <v>50</v>
      </c>
      <c r="G24" s="71">
        <v>0</v>
      </c>
      <c r="H24" s="72">
        <f>C24*F24</f>
        <v>230000000</v>
      </c>
    </row>
    <row r="25" spans="1:9" x14ac:dyDescent="0.25">
      <c r="A25" s="26" t="s">
        <v>86</v>
      </c>
      <c r="B25" s="27">
        <v>45798</v>
      </c>
      <c r="C25" s="34"/>
      <c r="D25" s="34"/>
      <c r="E25" s="34"/>
      <c r="F25" s="70">
        <v>60.43</v>
      </c>
      <c r="G25" s="70">
        <v>77.63</v>
      </c>
      <c r="H25" s="73">
        <v>0</v>
      </c>
    </row>
    <row r="26" spans="1:9" x14ac:dyDescent="0.25">
      <c r="A26" s="28" t="s">
        <v>100</v>
      </c>
      <c r="B26" s="29">
        <v>45812</v>
      </c>
      <c r="C26" s="35">
        <v>4600000</v>
      </c>
      <c r="D26" s="35">
        <v>2000000</v>
      </c>
      <c r="E26" s="35">
        <v>0</v>
      </c>
      <c r="F26" s="71">
        <v>58.51</v>
      </c>
      <c r="G26" s="71">
        <v>26.61</v>
      </c>
      <c r="H26" s="72">
        <f>(C26*F26)+(D26*G26)</f>
        <v>322366000</v>
      </c>
    </row>
    <row r="27" spans="1:9" x14ac:dyDescent="0.25">
      <c r="A27" s="30" t="s">
        <v>89</v>
      </c>
      <c r="B27" s="31" t="s">
        <v>90</v>
      </c>
      <c r="C27" s="32">
        <f>SUM(C17:C26)</f>
        <v>19772871</v>
      </c>
      <c r="D27" s="32">
        <f t="shared" ref="D27:E27" si="0">SUM(D17:D26)</f>
        <v>4222832</v>
      </c>
      <c r="E27" s="32">
        <f t="shared" si="0"/>
        <v>1022000</v>
      </c>
      <c r="F27" s="217"/>
      <c r="G27" s="217"/>
      <c r="H27" s="33">
        <f>(SUM(H17:H26))</f>
        <v>1038620138.46</v>
      </c>
      <c r="I27" s="56"/>
    </row>
    <row r="28" spans="1:9" x14ac:dyDescent="0.25">
      <c r="C28" s="11"/>
      <c r="D28" s="11"/>
      <c r="E28" s="11"/>
      <c r="F28" s="61"/>
      <c r="G28" s="61"/>
      <c r="I28" t="s">
        <v>97</v>
      </c>
    </row>
    <row r="29" spans="1:9" x14ac:dyDescent="0.25">
      <c r="A29" s="3" t="s">
        <v>186</v>
      </c>
      <c r="C29" s="11"/>
      <c r="D29" s="11"/>
      <c r="E29" s="11"/>
      <c r="F29" s="61"/>
      <c r="G29" s="61"/>
      <c r="I29" t="s">
        <v>98</v>
      </c>
    </row>
    <row r="30" spans="1:9" ht="27.75" customHeight="1" x14ac:dyDescent="0.25">
      <c r="A30" s="23" t="s">
        <v>77</v>
      </c>
      <c r="B30" s="24" t="s">
        <v>101</v>
      </c>
      <c r="C30" s="214" t="s">
        <v>78</v>
      </c>
      <c r="D30" s="214" t="s">
        <v>79</v>
      </c>
      <c r="E30" s="214" t="s">
        <v>80</v>
      </c>
      <c r="F30" s="218" t="s">
        <v>81</v>
      </c>
      <c r="G30" s="218" t="s">
        <v>82</v>
      </c>
      <c r="H30" s="25" t="s">
        <v>83</v>
      </c>
    </row>
    <row r="31" spans="1:9" x14ac:dyDescent="0.25">
      <c r="A31" s="26" t="s">
        <v>86</v>
      </c>
      <c r="B31" s="27">
        <v>45875</v>
      </c>
      <c r="C31" s="34">
        <v>0</v>
      </c>
      <c r="D31" s="34">
        <v>0</v>
      </c>
      <c r="E31" s="34">
        <v>0</v>
      </c>
      <c r="F31" s="70">
        <v>60.43</v>
      </c>
      <c r="G31" s="70">
        <v>77.63</v>
      </c>
      <c r="H31" s="73">
        <f>ROUND((F31*E31),-3)</f>
        <v>0</v>
      </c>
    </row>
    <row r="32" spans="1:9" x14ac:dyDescent="0.25">
      <c r="A32" s="28" t="s">
        <v>102</v>
      </c>
      <c r="B32" s="29">
        <v>45903</v>
      </c>
      <c r="C32" s="35">
        <v>4600000</v>
      </c>
      <c r="D32" s="35">
        <v>0</v>
      </c>
      <c r="E32" s="35">
        <v>0</v>
      </c>
      <c r="F32" s="159">
        <v>57.62</v>
      </c>
      <c r="G32" s="219">
        <v>0</v>
      </c>
      <c r="H32" s="72">
        <f>ROUND((F32*C32)+(G32*D32),-3)</f>
        <v>265052000</v>
      </c>
    </row>
    <row r="33" spans="1:9" x14ac:dyDescent="0.25">
      <c r="A33" s="26" t="s">
        <v>94</v>
      </c>
      <c r="B33" s="55" t="s">
        <v>95</v>
      </c>
      <c r="C33" s="34">
        <v>0</v>
      </c>
      <c r="D33" s="34">
        <v>0</v>
      </c>
      <c r="E33" s="34">
        <v>0</v>
      </c>
      <c r="F33" s="70">
        <v>57.62</v>
      </c>
      <c r="G33" s="220">
        <v>0</v>
      </c>
      <c r="H33" s="73">
        <f t="shared" ref="H33" si="1">ROUND((F33*C33)+(G33*D33),-3)</f>
        <v>0</v>
      </c>
    </row>
    <row r="34" spans="1:9" x14ac:dyDescent="0.25">
      <c r="A34" s="28" t="s">
        <v>103</v>
      </c>
      <c r="B34" s="29">
        <v>45931</v>
      </c>
      <c r="C34" s="35">
        <v>0</v>
      </c>
      <c r="D34" s="35">
        <v>0</v>
      </c>
      <c r="E34" s="35">
        <v>0</v>
      </c>
      <c r="F34" s="71">
        <v>60.43</v>
      </c>
      <c r="G34" s="71">
        <v>77.63</v>
      </c>
      <c r="H34" s="74">
        <f>ROUND((F34*E34),-3)</f>
        <v>0</v>
      </c>
    </row>
    <row r="35" spans="1:9" x14ac:dyDescent="0.25">
      <c r="A35" s="26" t="s">
        <v>86</v>
      </c>
      <c r="B35" s="27">
        <v>45973</v>
      </c>
      <c r="C35" s="34">
        <v>0</v>
      </c>
      <c r="D35" s="34">
        <v>0</v>
      </c>
      <c r="E35" s="34">
        <v>0</v>
      </c>
      <c r="F35" s="70">
        <v>60.43</v>
      </c>
      <c r="G35" s="70">
        <v>77.63</v>
      </c>
      <c r="H35" s="73">
        <f>ROUND((F35*E35),-3)</f>
        <v>0</v>
      </c>
    </row>
    <row r="36" spans="1:9" x14ac:dyDescent="0.25">
      <c r="A36" s="28" t="s">
        <v>104</v>
      </c>
      <c r="B36" s="29">
        <v>45994</v>
      </c>
      <c r="C36" s="35">
        <v>4753500</v>
      </c>
      <c r="D36" s="35">
        <v>1945905</v>
      </c>
      <c r="E36" s="35">
        <v>0</v>
      </c>
      <c r="F36" s="159">
        <v>58.36</v>
      </c>
      <c r="G36" s="71">
        <v>35.479999999999997</v>
      </c>
      <c r="H36" s="72">
        <f>ROUND((F36*C36)+(G36*D36),-3)</f>
        <v>346455000</v>
      </c>
    </row>
    <row r="37" spans="1:9" x14ac:dyDescent="0.25">
      <c r="A37" s="26" t="s">
        <v>105</v>
      </c>
      <c r="B37" s="27">
        <v>46071</v>
      </c>
      <c r="C37" s="34">
        <v>0</v>
      </c>
      <c r="D37" s="34">
        <v>0</v>
      </c>
      <c r="E37" s="34">
        <v>0</v>
      </c>
      <c r="F37" s="70">
        <v>60.43</v>
      </c>
      <c r="G37" s="70">
        <v>83.76</v>
      </c>
      <c r="H37" s="73">
        <f>ROUND((F37*E37),-3)</f>
        <v>0</v>
      </c>
    </row>
    <row r="38" spans="1:9" x14ac:dyDescent="0.25">
      <c r="A38" s="28" t="s">
        <v>106</v>
      </c>
      <c r="B38" s="29">
        <v>46085</v>
      </c>
      <c r="C38" s="35">
        <f>ROUNDDOWN('Appendix A - Supply Tables'!$B$185/4,0)</f>
        <v>3472588</v>
      </c>
      <c r="D38" s="35">
        <v>0</v>
      </c>
      <c r="E38" s="35">
        <v>0</v>
      </c>
      <c r="F38" s="159">
        <v>59.1</v>
      </c>
      <c r="G38" s="219">
        <v>0</v>
      </c>
      <c r="H38" s="72">
        <f>ROUND((F38*C38)+(G38*D38),-3)</f>
        <v>205230000</v>
      </c>
    </row>
    <row r="39" spans="1:9" x14ac:dyDescent="0.25">
      <c r="A39" s="26" t="s">
        <v>105</v>
      </c>
      <c r="B39" s="27">
        <v>46162</v>
      </c>
      <c r="C39" s="34">
        <v>0</v>
      </c>
      <c r="D39" s="34">
        <v>0</v>
      </c>
      <c r="E39" s="34">
        <v>0</v>
      </c>
      <c r="F39" s="70">
        <v>65.2</v>
      </c>
      <c r="G39" s="70">
        <v>83.76</v>
      </c>
      <c r="H39" s="73">
        <f>ROUND((F39*E39),-3)</f>
        <v>0</v>
      </c>
    </row>
    <row r="40" spans="1:9" x14ac:dyDescent="0.25">
      <c r="A40" s="28" t="s">
        <v>107</v>
      </c>
      <c r="B40" s="29">
        <v>46176</v>
      </c>
      <c r="C40" s="35">
        <f>ROUNDUP('Appendix A - Supply Tables'!$B$185/4,0)</f>
        <v>3472589</v>
      </c>
      <c r="D40" s="35">
        <f>ROUNDDOWN('Appendix A - Supply Tables'!$B$172/2,0)</f>
        <v>1744921</v>
      </c>
      <c r="E40" s="35">
        <v>0</v>
      </c>
      <c r="F40" s="71">
        <v>47.32</v>
      </c>
      <c r="G40" s="71">
        <v>32.04</v>
      </c>
      <c r="H40" s="72">
        <f>ROUND((F40*C40)+(G40*D40),-3)</f>
        <v>220230000</v>
      </c>
    </row>
    <row r="41" spans="1:9" x14ac:dyDescent="0.25">
      <c r="A41" s="30" t="s">
        <v>89</v>
      </c>
      <c r="B41" s="31" t="s">
        <v>90</v>
      </c>
      <c r="C41" s="32">
        <f>SUM(C31:C40)</f>
        <v>16298677</v>
      </c>
      <c r="D41" s="32">
        <f t="shared" ref="D41" si="2">SUM(D31:D40)</f>
        <v>3690826</v>
      </c>
      <c r="E41" s="32">
        <f t="shared" ref="E41" si="3">SUM(E31:E40)</f>
        <v>0</v>
      </c>
      <c r="F41" s="217"/>
      <c r="G41" s="217"/>
      <c r="H41" s="33">
        <f>(SUM(H31:H40))</f>
        <v>1036967000</v>
      </c>
      <c r="I41" s="56"/>
    </row>
    <row r="42" spans="1:9" x14ac:dyDescent="0.25">
      <c r="C42" s="11"/>
      <c r="D42" s="11"/>
      <c r="F42" s="61"/>
      <c r="G42" s="61"/>
    </row>
    <row r="43" spans="1:9" x14ac:dyDescent="0.25">
      <c r="A43" s="2" t="s">
        <v>187</v>
      </c>
      <c r="C43" s="11"/>
      <c r="D43" s="11"/>
      <c r="F43" s="61"/>
      <c r="G43" s="61"/>
    </row>
    <row r="44" spans="1:9" ht="27.75" customHeight="1" x14ac:dyDescent="0.25">
      <c r="A44" s="23" t="s">
        <v>77</v>
      </c>
      <c r="B44" s="24" t="s">
        <v>108</v>
      </c>
      <c r="C44" s="214" t="s">
        <v>78</v>
      </c>
      <c r="D44" s="214" t="s">
        <v>79</v>
      </c>
      <c r="E44" s="24" t="s">
        <v>80</v>
      </c>
      <c r="F44" s="218" t="s">
        <v>81</v>
      </c>
      <c r="G44" s="218" t="s">
        <v>82</v>
      </c>
      <c r="H44" s="25" t="s">
        <v>83</v>
      </c>
    </row>
    <row r="45" spans="1:9" x14ac:dyDescent="0.25">
      <c r="A45" s="26" t="s">
        <v>105</v>
      </c>
      <c r="B45" s="27">
        <v>46239</v>
      </c>
      <c r="C45" s="34">
        <v>0</v>
      </c>
      <c r="D45" s="34">
        <v>0</v>
      </c>
      <c r="E45" s="34">
        <v>0</v>
      </c>
      <c r="F45" s="70">
        <v>65.2</v>
      </c>
      <c r="G45" s="70">
        <v>83.76</v>
      </c>
      <c r="H45" s="73">
        <f>ROUND((F45*E45),-3)</f>
        <v>0</v>
      </c>
    </row>
    <row r="46" spans="1:9" x14ac:dyDescent="0.25">
      <c r="A46" s="28" t="s">
        <v>109</v>
      </c>
      <c r="B46" s="29">
        <v>46267</v>
      </c>
      <c r="C46" s="35">
        <f>ROUNDUP('Appendix A - Supply Tables'!$B$185/4,0)</f>
        <v>3472589</v>
      </c>
      <c r="D46" s="35">
        <v>0</v>
      </c>
      <c r="E46" s="35">
        <v>0</v>
      </c>
      <c r="F46" s="71">
        <v>48.23</v>
      </c>
      <c r="G46" s="219">
        <v>0</v>
      </c>
      <c r="H46" s="72">
        <f>ROUND((F46*C46)+(G46*D46),-3)</f>
        <v>167483000</v>
      </c>
    </row>
    <row r="47" spans="1:9" x14ac:dyDescent="0.25">
      <c r="A47" s="26" t="s">
        <v>94</v>
      </c>
      <c r="B47" s="55" t="s">
        <v>95</v>
      </c>
      <c r="C47" s="107">
        <v>0</v>
      </c>
      <c r="D47" s="34">
        <v>0</v>
      </c>
      <c r="E47" s="34">
        <v>0</v>
      </c>
      <c r="F47" s="70">
        <v>48.23</v>
      </c>
      <c r="G47" s="220">
        <v>0</v>
      </c>
      <c r="H47" s="73">
        <f t="shared" ref="H47" si="4">ROUND((F47*C47)+(G47*D47),-3)</f>
        <v>0</v>
      </c>
    </row>
    <row r="48" spans="1:9" x14ac:dyDescent="0.25">
      <c r="A48" s="28" t="s">
        <v>110</v>
      </c>
      <c r="B48" s="29">
        <v>46295</v>
      </c>
      <c r="C48" s="106">
        <v>0</v>
      </c>
      <c r="D48" s="35">
        <v>0</v>
      </c>
      <c r="E48" s="35">
        <v>0</v>
      </c>
      <c r="F48" s="71">
        <v>65.2</v>
      </c>
      <c r="G48" s="71">
        <v>83.76</v>
      </c>
      <c r="H48" s="72">
        <f>ROUND((F48*E48),-3)</f>
        <v>0</v>
      </c>
    </row>
    <row r="49" spans="1:8" x14ac:dyDescent="0.25">
      <c r="A49" s="26" t="s">
        <v>86</v>
      </c>
      <c r="B49" s="27">
        <v>46344</v>
      </c>
      <c r="C49" s="107">
        <v>0</v>
      </c>
      <c r="D49" s="34">
        <v>0</v>
      </c>
      <c r="E49" s="34">
        <v>0</v>
      </c>
      <c r="F49" s="70">
        <v>65.2</v>
      </c>
      <c r="G49" s="70">
        <v>83.76</v>
      </c>
      <c r="H49" s="73">
        <f>ROUND((F49*E49),-3)</f>
        <v>0</v>
      </c>
    </row>
    <row r="50" spans="1:8" x14ac:dyDescent="0.25">
      <c r="A50" s="28" t="s">
        <v>111</v>
      </c>
      <c r="B50" s="29">
        <v>46358</v>
      </c>
      <c r="C50" s="35">
        <f>ROUNDUP('Appendix A - Supply Tables'!$B$185/4,0)</f>
        <v>3472589</v>
      </c>
      <c r="D50" s="35">
        <f>ROUNDUP('Appendix A - Supply Tables'!$B$172/2,0)</f>
        <v>1744922</v>
      </c>
      <c r="E50" s="35">
        <v>0</v>
      </c>
      <c r="F50" s="71">
        <v>49.16</v>
      </c>
      <c r="G50" s="71">
        <v>33.28</v>
      </c>
      <c r="H50" s="72">
        <f>ROUND((F50*C50)+(G50*D50),-3)</f>
        <v>228783000</v>
      </c>
    </row>
    <row r="51" spans="1:8" x14ac:dyDescent="0.25">
      <c r="A51" s="26" t="s">
        <v>105</v>
      </c>
      <c r="B51" s="27">
        <v>46435</v>
      </c>
      <c r="C51" s="34">
        <v>0</v>
      </c>
      <c r="D51" s="34">
        <v>0</v>
      </c>
      <c r="E51" s="34">
        <v>0</v>
      </c>
      <c r="F51" s="70">
        <v>65.2</v>
      </c>
      <c r="G51" s="70">
        <v>83.76</v>
      </c>
      <c r="H51" s="73">
        <f>ROUND((F51*E51),-3)</f>
        <v>0</v>
      </c>
    </row>
    <row r="52" spans="1:8" x14ac:dyDescent="0.25">
      <c r="A52" s="28" t="s">
        <v>112</v>
      </c>
      <c r="B52" s="29">
        <v>46449</v>
      </c>
      <c r="C52" s="142">
        <f>ROUNDDOWN('Appendix A - Supply Tables'!$B$186/4,0)</f>
        <v>2572525</v>
      </c>
      <c r="D52" s="35">
        <v>0</v>
      </c>
      <c r="E52" s="35">
        <v>0</v>
      </c>
      <c r="F52" s="71">
        <v>50.02</v>
      </c>
      <c r="G52" s="219">
        <v>0</v>
      </c>
      <c r="H52" s="72">
        <f>ROUND((F52*C52)+(G52*D52),-3)</f>
        <v>128678000</v>
      </c>
    </row>
    <row r="53" spans="1:8" x14ac:dyDescent="0.25">
      <c r="A53" s="26" t="s">
        <v>86</v>
      </c>
      <c r="B53" s="27">
        <v>46526</v>
      </c>
      <c r="C53" s="34">
        <v>0</v>
      </c>
      <c r="D53" s="34">
        <v>0</v>
      </c>
      <c r="E53" s="34">
        <v>0</v>
      </c>
      <c r="F53" s="70">
        <v>69.89</v>
      </c>
      <c r="G53" s="70">
        <v>89.79</v>
      </c>
      <c r="H53" s="73">
        <f>ROUND((F53*E53),-3)</f>
        <v>0</v>
      </c>
    </row>
    <row r="54" spans="1:8" x14ac:dyDescent="0.25">
      <c r="A54" s="28" t="s">
        <v>113</v>
      </c>
      <c r="B54" s="29">
        <v>46540</v>
      </c>
      <c r="C54" s="142">
        <f>ROUNDDOWN('Appendix A - Supply Tables'!$B$186/4,0)</f>
        <v>2572525</v>
      </c>
      <c r="D54" s="35">
        <f>('Appendix A - Supply Tables'!$B$173/2)</f>
        <v>1505889</v>
      </c>
      <c r="E54" s="35">
        <v>0</v>
      </c>
      <c r="F54" s="71">
        <v>50.9</v>
      </c>
      <c r="G54" s="71">
        <v>34.46</v>
      </c>
      <c r="H54" s="72">
        <f>ROUND((F54*C54)+(G54*D54),-3)</f>
        <v>182834000</v>
      </c>
    </row>
    <row r="55" spans="1:8" x14ac:dyDescent="0.25">
      <c r="A55" s="30" t="s">
        <v>89</v>
      </c>
      <c r="B55" s="31"/>
      <c r="C55" s="32">
        <f>SUM(C45:C54)</f>
        <v>12090228</v>
      </c>
      <c r="D55" s="32">
        <f t="shared" ref="D55" si="5">SUM(D45:D54)</f>
        <v>3250811</v>
      </c>
      <c r="E55" s="32">
        <f t="shared" ref="E55" si="6">SUM(E45:E54)</f>
        <v>0</v>
      </c>
      <c r="F55" s="217"/>
      <c r="G55" s="217"/>
      <c r="H55" s="33">
        <f>(SUM(H45:H54))</f>
        <v>707778000</v>
      </c>
    </row>
    <row r="56" spans="1:8" x14ac:dyDescent="0.25">
      <c r="C56" s="11"/>
      <c r="D56" s="11"/>
      <c r="F56" s="61"/>
      <c r="G56" s="61"/>
    </row>
    <row r="57" spans="1:8" x14ac:dyDescent="0.25">
      <c r="A57" s="2" t="s">
        <v>188</v>
      </c>
      <c r="C57" s="11"/>
      <c r="D57" s="11"/>
      <c r="F57" s="61"/>
      <c r="G57" s="61"/>
    </row>
    <row r="58" spans="1:8" ht="27.75" customHeight="1" x14ac:dyDescent="0.25">
      <c r="A58" s="23" t="s">
        <v>77</v>
      </c>
      <c r="B58" s="24" t="s">
        <v>114</v>
      </c>
      <c r="C58" s="214" t="s">
        <v>78</v>
      </c>
      <c r="D58" s="214" t="s">
        <v>79</v>
      </c>
      <c r="E58" s="24" t="s">
        <v>80</v>
      </c>
      <c r="F58" s="218" t="s">
        <v>81</v>
      </c>
      <c r="G58" s="218" t="s">
        <v>82</v>
      </c>
      <c r="H58" s="25" t="s">
        <v>83</v>
      </c>
    </row>
    <row r="59" spans="1:8" x14ac:dyDescent="0.25">
      <c r="A59" s="26" t="s">
        <v>86</v>
      </c>
      <c r="B59" s="27">
        <v>46603</v>
      </c>
      <c r="C59" s="34"/>
      <c r="D59" s="34"/>
      <c r="E59" s="34"/>
      <c r="F59" s="70">
        <v>69.89</v>
      </c>
      <c r="G59" s="70">
        <v>89.79</v>
      </c>
      <c r="H59" s="73">
        <f>ROUND((F59*E59),-3)</f>
        <v>0</v>
      </c>
    </row>
    <row r="60" spans="1:8" x14ac:dyDescent="0.25">
      <c r="A60" s="28" t="s">
        <v>115</v>
      </c>
      <c r="B60" s="29">
        <v>46631</v>
      </c>
      <c r="C60" s="142">
        <f>ROUNDUP('Appendix A - Supply Tables'!$B$186/4,0)</f>
        <v>2572526</v>
      </c>
      <c r="D60" s="35"/>
      <c r="E60" s="35"/>
      <c r="F60" s="71">
        <v>51.79</v>
      </c>
      <c r="G60" s="219">
        <v>0</v>
      </c>
      <c r="H60" s="72">
        <f>ROUND((F60*C60)+(G60*D60),-3)</f>
        <v>133231000</v>
      </c>
    </row>
    <row r="61" spans="1:8" x14ac:dyDescent="0.25">
      <c r="A61" s="26" t="s">
        <v>116</v>
      </c>
      <c r="B61" s="55">
        <v>46659</v>
      </c>
      <c r="C61" s="34"/>
      <c r="D61" s="34"/>
      <c r="E61" s="34"/>
      <c r="F61" s="70">
        <v>69.89</v>
      </c>
      <c r="G61" s="70">
        <v>89.79</v>
      </c>
      <c r="H61" s="73">
        <f>ROUND((F61*E61),-3)</f>
        <v>0</v>
      </c>
    </row>
    <row r="62" spans="1:8" x14ac:dyDescent="0.25">
      <c r="A62" s="160" t="s">
        <v>117</v>
      </c>
      <c r="B62" s="29">
        <v>46687</v>
      </c>
      <c r="C62" s="35"/>
      <c r="D62" s="35"/>
      <c r="E62" s="35"/>
      <c r="F62" s="71">
        <v>80</v>
      </c>
      <c r="G62" s="219">
        <v>0</v>
      </c>
      <c r="H62" s="74">
        <f t="shared" ref="H62" si="7">ROUND((F62*C62)+(G62*D62),-3)</f>
        <v>0</v>
      </c>
    </row>
    <row r="63" spans="1:8" x14ac:dyDescent="0.25">
      <c r="A63" s="26" t="s">
        <v>86</v>
      </c>
      <c r="B63" s="55">
        <v>46701</v>
      </c>
      <c r="C63" s="34"/>
      <c r="D63" s="34"/>
      <c r="E63" s="34"/>
      <c r="F63" s="70">
        <v>69.89</v>
      </c>
      <c r="G63" s="70">
        <v>89.79</v>
      </c>
      <c r="H63" s="73">
        <f>ROUND((F63*E63),-3)</f>
        <v>0</v>
      </c>
    </row>
    <row r="64" spans="1:8" x14ac:dyDescent="0.25">
      <c r="A64" s="28" t="s">
        <v>118</v>
      </c>
      <c r="B64" s="29">
        <v>46722</v>
      </c>
      <c r="C64" s="142">
        <f>ROUNDUP('Appendix A - Supply Tables'!$B$186/4,0)</f>
        <v>2572526</v>
      </c>
      <c r="D64" s="35">
        <f>ROUNDDOWN('Appendix A - Supply Tables'!$B$173/2,0)</f>
        <v>1505889</v>
      </c>
      <c r="E64" s="35"/>
      <c r="F64" s="71">
        <v>52.7</v>
      </c>
      <c r="G64" s="71">
        <v>35.68</v>
      </c>
      <c r="H64" s="72">
        <f>ROUND((F64*C64)+(G64*D64),-3)</f>
        <v>189302000</v>
      </c>
    </row>
    <row r="65" spans="1:8" x14ac:dyDescent="0.25">
      <c r="A65" s="26" t="s">
        <v>105</v>
      </c>
      <c r="B65" s="27">
        <v>46799</v>
      </c>
      <c r="C65" s="34"/>
      <c r="D65" s="34"/>
      <c r="E65" s="34"/>
      <c r="F65" s="70">
        <v>69.89</v>
      </c>
      <c r="G65" s="70">
        <v>89.79</v>
      </c>
      <c r="H65" s="73">
        <f>ROUND((F65*E65),-3)</f>
        <v>0</v>
      </c>
    </row>
    <row r="66" spans="1:8" x14ac:dyDescent="0.25">
      <c r="A66" s="28" t="s">
        <v>119</v>
      </c>
      <c r="B66" s="29">
        <v>46813</v>
      </c>
      <c r="C66" s="35">
        <f>ROUNDDOWN('Appendix A - Supply Tables'!$B$187/4,0)</f>
        <v>1581193</v>
      </c>
      <c r="D66" s="35"/>
      <c r="E66" s="35"/>
      <c r="F66" s="71">
        <v>53.6</v>
      </c>
      <c r="G66" s="219">
        <v>0</v>
      </c>
      <c r="H66" s="72">
        <f>ROUND((F66*C66)+(G66*D66),-3)</f>
        <v>84752000</v>
      </c>
    </row>
    <row r="67" spans="1:8" x14ac:dyDescent="0.25">
      <c r="A67" s="26" t="s">
        <v>105</v>
      </c>
      <c r="B67" s="27">
        <v>46897</v>
      </c>
      <c r="C67" s="34"/>
      <c r="D67" s="34"/>
      <c r="E67" s="34"/>
      <c r="F67" s="70">
        <v>74.78</v>
      </c>
      <c r="G67" s="70">
        <v>96.08</v>
      </c>
      <c r="H67" s="73">
        <f>ROUND((F67*E67),-3)</f>
        <v>0</v>
      </c>
    </row>
    <row r="68" spans="1:8" x14ac:dyDescent="0.25">
      <c r="A68" s="28" t="s">
        <v>120</v>
      </c>
      <c r="B68" s="29">
        <v>46911</v>
      </c>
      <c r="C68" s="35">
        <f>ROUNDDOWN('Appendix A - Supply Tables'!$B$187/4,0)</f>
        <v>1581193</v>
      </c>
      <c r="D68" s="35">
        <f>ROUNDDOWN('Appendix A - Supply Tables'!$B$174/2,0)</f>
        <v>1484685</v>
      </c>
      <c r="E68" s="35"/>
      <c r="F68" s="71">
        <v>54.51</v>
      </c>
      <c r="G68" s="71">
        <v>36.909999999999997</v>
      </c>
      <c r="H68" s="72">
        <f>ROUND((F68*C68)+(G68*D68),-3)</f>
        <v>140991000</v>
      </c>
    </row>
    <row r="69" spans="1:8" x14ac:dyDescent="0.25">
      <c r="A69" s="30" t="s">
        <v>89</v>
      </c>
      <c r="B69" s="31"/>
      <c r="C69" s="32">
        <f>SUM(C59:C68)</f>
        <v>8307438</v>
      </c>
      <c r="D69" s="32">
        <f t="shared" ref="D69" si="8">SUM(D59:D68)</f>
        <v>2990574</v>
      </c>
      <c r="E69" s="32">
        <f t="shared" ref="E69" si="9">SUM(E59:E68)</f>
        <v>0</v>
      </c>
      <c r="F69" s="217"/>
      <c r="G69" s="217"/>
      <c r="H69" s="33">
        <f>(SUM(H59:H68))</f>
        <v>548276000</v>
      </c>
    </row>
    <row r="70" spans="1:8" x14ac:dyDescent="0.25">
      <c r="C70" s="11"/>
      <c r="D70" s="11"/>
      <c r="F70" s="61"/>
      <c r="G70" s="61"/>
    </row>
    <row r="71" spans="1:8" x14ac:dyDescent="0.25">
      <c r="A71" s="2" t="s">
        <v>189</v>
      </c>
      <c r="C71" s="11"/>
      <c r="D71" s="11"/>
      <c r="F71" s="61"/>
      <c r="G71" s="61"/>
    </row>
    <row r="72" spans="1:8" ht="25.5" x14ac:dyDescent="0.25">
      <c r="A72" s="23" t="s">
        <v>77</v>
      </c>
      <c r="B72" s="24" t="s">
        <v>121</v>
      </c>
      <c r="C72" s="214" t="s">
        <v>78</v>
      </c>
      <c r="D72" s="214" t="s">
        <v>79</v>
      </c>
      <c r="E72" s="24" t="s">
        <v>80</v>
      </c>
      <c r="F72" s="218" t="s">
        <v>81</v>
      </c>
      <c r="G72" s="218" t="s">
        <v>82</v>
      </c>
      <c r="H72" s="25" t="s">
        <v>83</v>
      </c>
    </row>
    <row r="73" spans="1:8" x14ac:dyDescent="0.25">
      <c r="A73" s="26" t="s">
        <v>86</v>
      </c>
      <c r="B73" s="27">
        <v>46974</v>
      </c>
      <c r="C73" s="34"/>
      <c r="D73" s="34"/>
      <c r="E73" s="34"/>
      <c r="F73" s="70">
        <v>74.78</v>
      </c>
      <c r="G73" s="70">
        <v>96.08</v>
      </c>
      <c r="H73" s="73">
        <f>ROUND((F73*E73),-3)</f>
        <v>0</v>
      </c>
    </row>
    <row r="74" spans="1:8" x14ac:dyDescent="0.25">
      <c r="A74" s="28" t="s">
        <v>122</v>
      </c>
      <c r="B74" s="29">
        <v>47002</v>
      </c>
      <c r="C74" s="35">
        <f>ROUNDUP('Appendix A - Supply Tables'!$B$187/4,0)</f>
        <v>1581194</v>
      </c>
      <c r="D74" s="35">
        <v>0</v>
      </c>
      <c r="E74" s="35"/>
      <c r="F74" s="71">
        <v>55.44</v>
      </c>
      <c r="G74" s="219">
        <v>0</v>
      </c>
      <c r="H74" s="72">
        <f>ROUND((F74*C74)+(G74*D74),-3)</f>
        <v>87661000</v>
      </c>
    </row>
    <row r="75" spans="1:8" x14ac:dyDescent="0.25">
      <c r="A75" s="26" t="s">
        <v>123</v>
      </c>
      <c r="B75" s="55">
        <v>47023</v>
      </c>
      <c r="C75" s="34"/>
      <c r="D75" s="34"/>
      <c r="E75" s="34"/>
      <c r="F75" s="70">
        <v>74.78</v>
      </c>
      <c r="G75" s="70">
        <v>96.08</v>
      </c>
      <c r="H75" s="73">
        <f t="shared" ref="H75" si="10">ROUND((F75*C75)+(G75*D75),-3)</f>
        <v>0</v>
      </c>
    </row>
    <row r="76" spans="1:8" x14ac:dyDescent="0.25">
      <c r="A76" s="28" t="s">
        <v>86</v>
      </c>
      <c r="B76" s="29">
        <v>47072</v>
      </c>
      <c r="C76" s="35"/>
      <c r="D76" s="35"/>
      <c r="E76" s="35"/>
      <c r="F76" s="71">
        <v>74.78</v>
      </c>
      <c r="G76" s="71">
        <v>96.08</v>
      </c>
      <c r="H76" s="72">
        <f>ROUND((F76*E76),-3)</f>
        <v>0</v>
      </c>
    </row>
    <row r="77" spans="1:8" x14ac:dyDescent="0.25">
      <c r="A77" s="26" t="s">
        <v>124</v>
      </c>
      <c r="B77" s="55">
        <v>47093</v>
      </c>
      <c r="C77" s="34">
        <f>ROUNDUP('Appendix A - Supply Tables'!$B$187/4,0)</f>
        <v>1581194</v>
      </c>
      <c r="D77" s="34">
        <f>ROUNDUP('Appendix A - Supply Tables'!$B$174/2,0)</f>
        <v>1484686</v>
      </c>
      <c r="E77" s="34"/>
      <c r="F77" s="70">
        <v>56.39</v>
      </c>
      <c r="G77" s="70">
        <v>38.18</v>
      </c>
      <c r="H77" s="194">
        <f>ROUND((F77*C77)+(G77*D77),-3)</f>
        <v>145849000</v>
      </c>
    </row>
    <row r="78" spans="1:8" x14ac:dyDescent="0.25">
      <c r="A78" s="28" t="s">
        <v>105</v>
      </c>
      <c r="B78" s="29">
        <v>47170</v>
      </c>
      <c r="C78" s="35"/>
      <c r="D78" s="35"/>
      <c r="E78" s="35"/>
      <c r="F78" s="71">
        <v>74.78</v>
      </c>
      <c r="G78" s="71">
        <v>96.08</v>
      </c>
      <c r="H78" s="72">
        <f>ROUND((F78*E78),-3)</f>
        <v>0</v>
      </c>
    </row>
    <row r="79" spans="1:8" ht="14.25" customHeight="1" x14ac:dyDescent="0.25">
      <c r="A79" s="26" t="s">
        <v>125</v>
      </c>
      <c r="B79" s="55">
        <v>47184</v>
      </c>
      <c r="C79" s="34">
        <f>ROUNDDOWN('Appendix A - Supply Tables'!$B$188/4,0)</f>
        <v>855528</v>
      </c>
      <c r="D79" s="34"/>
      <c r="E79" s="34"/>
      <c r="F79" s="70">
        <v>57.34</v>
      </c>
      <c r="G79" s="70">
        <v>38.82</v>
      </c>
      <c r="H79" s="194">
        <f>ROUND((F79*C79)+(G79*D79),-3)</f>
        <v>49056000</v>
      </c>
    </row>
    <row r="80" spans="1:8" x14ac:dyDescent="0.25">
      <c r="A80" s="28" t="s">
        <v>105</v>
      </c>
      <c r="B80" s="29">
        <v>47261</v>
      </c>
      <c r="C80" s="35"/>
      <c r="D80" s="35"/>
      <c r="E80" s="35"/>
      <c r="F80" s="71">
        <v>79.94</v>
      </c>
      <c r="G80" s="71">
        <v>102.71</v>
      </c>
      <c r="H80" s="72">
        <f>ROUND((F80*E80),-3)</f>
        <v>0</v>
      </c>
    </row>
    <row r="81" spans="1:8" x14ac:dyDescent="0.25">
      <c r="A81" s="26" t="s">
        <v>126</v>
      </c>
      <c r="B81" s="55">
        <v>47275</v>
      </c>
      <c r="C81" s="34">
        <f>ROUNDDOWN('Appendix A - Supply Tables'!$B$188/4,0)</f>
        <v>855528</v>
      </c>
      <c r="D81" s="34">
        <f>'Appendix A - Supply Tables'!$B$175/2</f>
        <v>1422482</v>
      </c>
      <c r="E81" s="34"/>
      <c r="F81" s="70">
        <v>58.3</v>
      </c>
      <c r="G81" s="70">
        <v>39.47</v>
      </c>
      <c r="H81" s="194">
        <f>ROUND((F81*C81)+(G81*D81),-3)</f>
        <v>106023000</v>
      </c>
    </row>
    <row r="82" spans="1:8" x14ac:dyDescent="0.25">
      <c r="A82" s="30" t="s">
        <v>89</v>
      </c>
      <c r="B82" s="31"/>
      <c r="C82" s="32">
        <f>SUM(C73:C81)</f>
        <v>4873444</v>
      </c>
      <c r="D82" s="32">
        <f>SUM(D73:D81)</f>
        <v>2907168</v>
      </c>
      <c r="E82" s="32">
        <f>SUM(E73:E81)</f>
        <v>0</v>
      </c>
      <c r="F82" s="217"/>
      <c r="G82" s="217"/>
      <c r="H82" s="33">
        <f>(SUM(H73:H81))</f>
        <v>388589000</v>
      </c>
    </row>
    <row r="83" spans="1:8" x14ac:dyDescent="0.25">
      <c r="C83" s="11"/>
      <c r="D83" s="11"/>
      <c r="F83" s="61"/>
      <c r="G83" s="61"/>
    </row>
    <row r="84" spans="1:8" x14ac:dyDescent="0.25">
      <c r="A84" s="2" t="s">
        <v>190</v>
      </c>
      <c r="C84" s="11"/>
      <c r="D84" s="11"/>
      <c r="F84" s="61"/>
      <c r="G84" s="61"/>
    </row>
    <row r="85" spans="1:8" ht="25.5" x14ac:dyDescent="0.25">
      <c r="A85" s="23" t="s">
        <v>77</v>
      </c>
      <c r="B85" s="24" t="s">
        <v>138</v>
      </c>
      <c r="C85" s="214" t="s">
        <v>78</v>
      </c>
      <c r="D85" s="214" t="s">
        <v>79</v>
      </c>
      <c r="E85" s="24" t="s">
        <v>80</v>
      </c>
      <c r="F85" s="218" t="s">
        <v>81</v>
      </c>
      <c r="G85" s="218" t="s">
        <v>82</v>
      </c>
      <c r="H85" s="25" t="s">
        <v>83</v>
      </c>
    </row>
    <row r="86" spans="1:8" x14ac:dyDescent="0.25">
      <c r="A86" s="26" t="s">
        <v>86</v>
      </c>
      <c r="B86" s="27">
        <v>47331</v>
      </c>
      <c r="C86" s="34"/>
      <c r="D86" s="34"/>
      <c r="E86" s="34"/>
      <c r="F86" s="70">
        <v>79.94</v>
      </c>
      <c r="G86" s="70">
        <v>102.71</v>
      </c>
      <c r="H86" s="185">
        <f>ROUND((F86*E86),-3)</f>
        <v>0</v>
      </c>
    </row>
    <row r="87" spans="1:8" x14ac:dyDescent="0.25">
      <c r="A87" s="28" t="s">
        <v>139</v>
      </c>
      <c r="B87" s="29">
        <v>47366</v>
      </c>
      <c r="C87" s="35">
        <f>ROUNDUP('Appendix A - Supply Tables'!$B$188/4,0)</f>
        <v>855529</v>
      </c>
      <c r="D87" s="35">
        <v>0</v>
      </c>
      <c r="E87" s="35"/>
      <c r="F87" s="71">
        <v>59.29</v>
      </c>
      <c r="G87" s="219">
        <v>0</v>
      </c>
      <c r="H87" s="186">
        <f>ROUND((F87*C87)+(G87*D87),-3)</f>
        <v>50724000</v>
      </c>
    </row>
    <row r="88" spans="1:8" x14ac:dyDescent="0.25">
      <c r="A88" s="26" t="s">
        <v>140</v>
      </c>
      <c r="B88" s="27">
        <v>47394</v>
      </c>
      <c r="C88" s="34"/>
      <c r="D88" s="34"/>
      <c r="E88" s="34"/>
      <c r="F88" s="70">
        <v>79.94</v>
      </c>
      <c r="G88" s="70">
        <v>102.71</v>
      </c>
      <c r="H88" s="188">
        <f>ROUND((F88*C88)+(G88*D88),-3)</f>
        <v>0</v>
      </c>
    </row>
    <row r="89" spans="1:8" x14ac:dyDescent="0.25">
      <c r="A89" s="28" t="s">
        <v>86</v>
      </c>
      <c r="B89" s="29">
        <v>47436</v>
      </c>
      <c r="C89" s="35"/>
      <c r="D89" s="35"/>
      <c r="E89" s="35"/>
      <c r="F89" s="71">
        <v>79.94</v>
      </c>
      <c r="G89" s="71">
        <v>102.71</v>
      </c>
      <c r="H89" s="186">
        <f>ROUND((F89*C89)+(G89*D89),-3)</f>
        <v>0</v>
      </c>
    </row>
    <row r="90" spans="1:8" x14ac:dyDescent="0.25">
      <c r="A90" s="26" t="s">
        <v>141</v>
      </c>
      <c r="B90" s="27">
        <v>47457</v>
      </c>
      <c r="C90" s="34">
        <f>ROUNDUP('Appendix A - Supply Tables'!$B$188/4,0)</f>
        <v>855529</v>
      </c>
      <c r="D90" s="34">
        <f>'Appendix A - Supply Tables'!$B$175/2</f>
        <v>1422482</v>
      </c>
      <c r="E90" s="34"/>
      <c r="F90" s="70">
        <v>60.3</v>
      </c>
      <c r="G90" s="70">
        <v>40.83</v>
      </c>
      <c r="H90" s="188">
        <f>ROUND((F90*C90)+(G90*D90),-3)</f>
        <v>109668000</v>
      </c>
    </row>
    <row r="91" spans="1:8" x14ac:dyDescent="0.25">
      <c r="A91" s="28" t="s">
        <v>105</v>
      </c>
      <c r="B91" s="29">
        <v>47534</v>
      </c>
      <c r="C91" s="35"/>
      <c r="D91" s="35"/>
      <c r="E91" s="35"/>
      <c r="F91" s="71">
        <v>79.94</v>
      </c>
      <c r="G91" s="71">
        <v>102.71</v>
      </c>
      <c r="H91" s="186">
        <v>0</v>
      </c>
    </row>
    <row r="92" spans="1:8" x14ac:dyDescent="0.25">
      <c r="A92" s="26" t="s">
        <v>142</v>
      </c>
      <c r="B92" s="27">
        <v>47548</v>
      </c>
      <c r="C92" s="34">
        <f>ROUNDUP('Appendix A - Supply Tables'!$B$189/4,0)</f>
        <v>806060</v>
      </c>
      <c r="D92" s="34">
        <v>0</v>
      </c>
      <c r="E92" s="34"/>
      <c r="F92" s="70">
        <v>61.31</v>
      </c>
      <c r="G92" s="70">
        <v>41.52</v>
      </c>
      <c r="H92" s="188">
        <f>ROUND((F92*C92)+(G92*D92),-3)</f>
        <v>49420000</v>
      </c>
    </row>
    <row r="93" spans="1:8" x14ac:dyDescent="0.25">
      <c r="A93" s="28" t="s">
        <v>105</v>
      </c>
      <c r="B93" s="29">
        <v>47625</v>
      </c>
      <c r="C93" s="35"/>
      <c r="D93" s="35"/>
      <c r="E93" s="35"/>
      <c r="F93" s="71">
        <v>85.46</v>
      </c>
      <c r="G93" s="71">
        <v>109.8</v>
      </c>
      <c r="H93" s="186">
        <v>0</v>
      </c>
    </row>
    <row r="94" spans="1:8" x14ac:dyDescent="0.25">
      <c r="A94" s="26" t="s">
        <v>143</v>
      </c>
      <c r="B94" s="27">
        <v>47639</v>
      </c>
      <c r="C94" s="34">
        <f>ROUNDDOWN('Appendix A - Supply Tables'!$B$189/4,0)</f>
        <v>806059</v>
      </c>
      <c r="D94" s="34">
        <f>ROUNDDOWN('Appendix A - Supply Tables'!$B$176/2,0)</f>
        <v>1360278</v>
      </c>
      <c r="E94" s="34"/>
      <c r="F94" s="70">
        <v>62.34</v>
      </c>
      <c r="G94" s="70">
        <v>42.22</v>
      </c>
      <c r="H94" s="188">
        <f>ROUND((F94*C94)+(G94*D94),-3)</f>
        <v>107681000</v>
      </c>
    </row>
    <row r="95" spans="1:8" x14ac:dyDescent="0.25">
      <c r="A95" s="30" t="s">
        <v>89</v>
      </c>
      <c r="B95" s="31"/>
      <c r="C95" s="32">
        <f>SUM(C86:C94)</f>
        <v>3323177</v>
      </c>
      <c r="D95" s="32">
        <f>SUM(D86:D94)</f>
        <v>2782760</v>
      </c>
      <c r="E95" s="32">
        <f>SUM(E86:E94)</f>
        <v>0</v>
      </c>
      <c r="F95" s="221"/>
      <c r="G95" s="221"/>
      <c r="H95" s="187">
        <f>(SUM(H86:H94))</f>
        <v>317493000</v>
      </c>
    </row>
    <row r="99" spans="1:9" ht="17.25" x14ac:dyDescent="0.3">
      <c r="A99" s="10" t="s">
        <v>127</v>
      </c>
      <c r="C99" s="11"/>
      <c r="D99" s="11"/>
      <c r="F99" s="222"/>
      <c r="G99" s="222"/>
    </row>
    <row r="100" spans="1:9" x14ac:dyDescent="0.25">
      <c r="A100" s="9"/>
      <c r="B100" s="9"/>
      <c r="C100" s="183"/>
      <c r="D100" s="183"/>
      <c r="E100" s="9"/>
      <c r="F100" s="224"/>
      <c r="G100" s="224"/>
    </row>
    <row r="101" spans="1:9" x14ac:dyDescent="0.25">
      <c r="A101" s="2" t="s">
        <v>191</v>
      </c>
      <c r="B101" s="9"/>
      <c r="C101" s="183"/>
      <c r="D101" s="183"/>
      <c r="E101" s="9"/>
      <c r="F101" s="224"/>
      <c r="G101" s="224"/>
    </row>
    <row r="102" spans="1:9" ht="27.75" customHeight="1" x14ac:dyDescent="0.25">
      <c r="A102" s="23" t="s">
        <v>77</v>
      </c>
      <c r="B102" s="24" t="s">
        <v>91</v>
      </c>
      <c r="C102" s="214" t="s">
        <v>78</v>
      </c>
      <c r="D102" s="214" t="s">
        <v>79</v>
      </c>
      <c r="E102" s="24" t="s">
        <v>80</v>
      </c>
      <c r="F102" s="223" t="s">
        <v>81</v>
      </c>
      <c r="G102" s="223" t="s">
        <v>82</v>
      </c>
      <c r="H102" s="25" t="s">
        <v>83</v>
      </c>
    </row>
    <row r="103" spans="1:9" x14ac:dyDescent="0.25">
      <c r="A103" s="26" t="s">
        <v>86</v>
      </c>
      <c r="B103" s="27">
        <v>45511</v>
      </c>
      <c r="C103" s="34">
        <v>0</v>
      </c>
      <c r="D103" s="34">
        <v>0</v>
      </c>
      <c r="E103" s="34">
        <v>0</v>
      </c>
      <c r="F103" s="70">
        <v>56.16</v>
      </c>
      <c r="G103" s="70">
        <v>72.150000000000006</v>
      </c>
      <c r="H103" s="73">
        <v>0</v>
      </c>
    </row>
    <row r="104" spans="1:9" x14ac:dyDescent="0.25">
      <c r="A104" s="28" t="s">
        <v>92</v>
      </c>
      <c r="B104" s="29">
        <v>45539</v>
      </c>
      <c r="C104" s="35">
        <v>5260000</v>
      </c>
      <c r="D104" s="35"/>
      <c r="E104" s="35">
        <v>0</v>
      </c>
      <c r="F104" s="71">
        <v>29.88</v>
      </c>
      <c r="G104" s="71">
        <v>0</v>
      </c>
      <c r="H104" s="72">
        <v>157168800</v>
      </c>
    </row>
    <row r="105" spans="1:9" x14ac:dyDescent="0.25">
      <c r="A105" s="26" t="s">
        <v>93</v>
      </c>
      <c r="B105" s="27">
        <v>45567</v>
      </c>
      <c r="C105" s="34">
        <v>0</v>
      </c>
      <c r="D105" s="34">
        <v>0</v>
      </c>
      <c r="E105" s="34">
        <v>1022000</v>
      </c>
      <c r="F105" s="70">
        <v>56.16</v>
      </c>
      <c r="G105" s="70">
        <v>72.150000000000006</v>
      </c>
      <c r="H105" s="157">
        <v>57395520</v>
      </c>
      <c r="I105" s="5"/>
    </row>
    <row r="106" spans="1:9" x14ac:dyDescent="0.25">
      <c r="A106" s="28" t="s">
        <v>94</v>
      </c>
      <c r="B106" s="63" t="s">
        <v>95</v>
      </c>
      <c r="C106" s="35">
        <v>0</v>
      </c>
      <c r="D106" s="35">
        <v>0</v>
      </c>
      <c r="E106" s="35">
        <v>0</v>
      </c>
      <c r="F106" s="71"/>
      <c r="G106" s="71">
        <v>0</v>
      </c>
      <c r="H106" s="74">
        <v>0</v>
      </c>
    </row>
    <row r="107" spans="1:9" x14ac:dyDescent="0.25">
      <c r="A107" s="26" t="s">
        <v>86</v>
      </c>
      <c r="B107" s="27">
        <v>45602</v>
      </c>
      <c r="C107" s="34"/>
      <c r="D107" s="34">
        <v>0</v>
      </c>
      <c r="E107" s="34">
        <v>0</v>
      </c>
      <c r="F107" s="70">
        <v>56.16</v>
      </c>
      <c r="G107" s="70">
        <v>72.150000000000006</v>
      </c>
      <c r="H107" s="73">
        <v>0</v>
      </c>
    </row>
    <row r="108" spans="1:9" x14ac:dyDescent="0.25">
      <c r="A108" s="28" t="s">
        <v>96</v>
      </c>
      <c r="B108" s="29">
        <v>45630</v>
      </c>
      <c r="C108" s="35">
        <v>5312871</v>
      </c>
      <c r="D108" s="35">
        <v>2222832</v>
      </c>
      <c r="E108" s="35">
        <v>0</v>
      </c>
      <c r="F108" s="71">
        <v>40.26</v>
      </c>
      <c r="G108" s="71">
        <v>26</v>
      </c>
      <c r="H108" s="72">
        <v>271689778.19999999</v>
      </c>
    </row>
    <row r="109" spans="1:9" x14ac:dyDescent="0.25">
      <c r="A109" s="26" t="s">
        <v>86</v>
      </c>
      <c r="B109" s="27">
        <v>45707</v>
      </c>
      <c r="C109" s="34">
        <v>0</v>
      </c>
      <c r="D109" s="34">
        <v>0</v>
      </c>
      <c r="E109" s="34"/>
      <c r="F109" s="70">
        <v>56.16</v>
      </c>
      <c r="G109" s="70">
        <v>72.150000000000006</v>
      </c>
      <c r="H109" s="73">
        <v>0</v>
      </c>
    </row>
    <row r="110" spans="1:9" x14ac:dyDescent="0.25">
      <c r="A110" s="28" t="s">
        <v>99</v>
      </c>
      <c r="B110" s="29">
        <v>45721</v>
      </c>
      <c r="C110" s="35">
        <v>4600000</v>
      </c>
      <c r="D110" s="35">
        <v>0</v>
      </c>
      <c r="E110" s="35">
        <v>0</v>
      </c>
      <c r="F110" s="71">
        <v>50</v>
      </c>
      <c r="G110" s="71">
        <v>0</v>
      </c>
      <c r="H110" s="72">
        <v>230000000</v>
      </c>
    </row>
    <row r="111" spans="1:9" x14ac:dyDescent="0.25">
      <c r="A111" s="26" t="s">
        <v>105</v>
      </c>
      <c r="B111" s="27">
        <v>45798</v>
      </c>
      <c r="C111" s="34"/>
      <c r="D111" s="34"/>
      <c r="E111" s="34"/>
      <c r="F111" s="70">
        <v>60.43</v>
      </c>
      <c r="G111" s="70">
        <v>77.63</v>
      </c>
      <c r="H111" s="73">
        <v>0</v>
      </c>
    </row>
    <row r="112" spans="1:9" x14ac:dyDescent="0.25">
      <c r="A112" s="28" t="s">
        <v>100</v>
      </c>
      <c r="B112" s="29">
        <v>45812</v>
      </c>
      <c r="C112" s="35">
        <v>4600000</v>
      </c>
      <c r="D112" s="35">
        <v>2000000</v>
      </c>
      <c r="E112" s="35">
        <v>0</v>
      </c>
      <c r="F112" s="71">
        <v>58.51</v>
      </c>
      <c r="G112" s="71">
        <v>26.61</v>
      </c>
      <c r="H112" s="72">
        <v>322366000</v>
      </c>
    </row>
    <row r="113" spans="1:9" x14ac:dyDescent="0.25">
      <c r="A113" s="30" t="s">
        <v>89</v>
      </c>
      <c r="B113" s="31" t="s">
        <v>90</v>
      </c>
      <c r="C113" s="32">
        <f>SUM(C103:C112)</f>
        <v>19772871</v>
      </c>
      <c r="D113" s="32">
        <f t="shared" ref="D113" si="11">SUM(D103:D112)</f>
        <v>4222832</v>
      </c>
      <c r="E113" s="32">
        <f t="shared" ref="E113" si="12">SUM(E103:E112)</f>
        <v>1022000</v>
      </c>
      <c r="F113" s="217"/>
      <c r="G113" s="217"/>
      <c r="H113" s="33">
        <f>(SUM(H103:H112))</f>
        <v>1038620098.2</v>
      </c>
      <c r="I113" s="56"/>
    </row>
    <row r="114" spans="1:9" x14ac:dyDescent="0.25">
      <c r="A114" s="9"/>
      <c r="B114" s="9"/>
      <c r="C114" s="183"/>
      <c r="D114" s="183"/>
      <c r="E114" s="9"/>
      <c r="F114" s="184"/>
      <c r="G114" s="184"/>
      <c r="H114" s="9"/>
      <c r="I114" t="s">
        <v>97</v>
      </c>
    </row>
    <row r="115" spans="1:9" x14ac:dyDescent="0.25">
      <c r="A115" s="2" t="s">
        <v>192</v>
      </c>
      <c r="B115" s="9"/>
      <c r="C115" s="183"/>
      <c r="D115" s="183"/>
      <c r="E115" s="9"/>
      <c r="F115" s="184"/>
      <c r="G115" s="184"/>
      <c r="H115" s="9"/>
      <c r="I115" t="s">
        <v>98</v>
      </c>
    </row>
    <row r="116" spans="1:9" ht="27.75" customHeight="1" x14ac:dyDescent="0.25">
      <c r="A116" s="23" t="s">
        <v>77</v>
      </c>
      <c r="B116" s="24" t="s">
        <v>101</v>
      </c>
      <c r="C116" s="214" t="s">
        <v>78</v>
      </c>
      <c r="D116" s="214" t="s">
        <v>79</v>
      </c>
      <c r="E116" s="24" t="s">
        <v>80</v>
      </c>
      <c r="F116" s="218" t="s">
        <v>81</v>
      </c>
      <c r="G116" s="218" t="s">
        <v>82</v>
      </c>
      <c r="H116" s="25" t="s">
        <v>83</v>
      </c>
    </row>
    <row r="117" spans="1:9" x14ac:dyDescent="0.25">
      <c r="A117" s="26" t="s">
        <v>86</v>
      </c>
      <c r="B117" s="27">
        <v>45875</v>
      </c>
      <c r="C117" s="34">
        <v>0</v>
      </c>
      <c r="D117" s="34">
        <v>0</v>
      </c>
      <c r="E117" s="34">
        <v>0</v>
      </c>
      <c r="F117" s="70">
        <v>60.43</v>
      </c>
      <c r="G117" s="70">
        <v>77.63</v>
      </c>
      <c r="H117" s="73">
        <f>ROUND((F117*C117)+(G117*D117),-3)</f>
        <v>0</v>
      </c>
    </row>
    <row r="118" spans="1:9" x14ac:dyDescent="0.25">
      <c r="A118" s="28" t="s">
        <v>102</v>
      </c>
      <c r="B118" s="29">
        <v>45903</v>
      </c>
      <c r="C118" s="35">
        <v>4600000</v>
      </c>
      <c r="D118" s="35">
        <v>0</v>
      </c>
      <c r="E118" s="35">
        <v>0</v>
      </c>
      <c r="F118" s="71">
        <v>31.64</v>
      </c>
      <c r="G118" s="219">
        <v>0</v>
      </c>
      <c r="H118" s="72">
        <f>ROUND((F118*C118)+(G118*D118),-3)</f>
        <v>145544000</v>
      </c>
    </row>
    <row r="119" spans="1:9" x14ac:dyDescent="0.25">
      <c r="A119" s="26" t="s">
        <v>94</v>
      </c>
      <c r="B119" s="55" t="s">
        <v>95</v>
      </c>
      <c r="C119" s="34">
        <v>0</v>
      </c>
      <c r="D119" s="34">
        <v>0</v>
      </c>
      <c r="E119" s="34">
        <v>0</v>
      </c>
      <c r="F119" s="192">
        <v>31.64</v>
      </c>
      <c r="G119" s="220">
        <v>0</v>
      </c>
      <c r="H119" s="73">
        <f t="shared" ref="H119:H121" si="13">ROUND((F119*C119)+(G119*D119),-3)</f>
        <v>0</v>
      </c>
    </row>
    <row r="120" spans="1:9" x14ac:dyDescent="0.25">
      <c r="A120" s="28" t="s">
        <v>103</v>
      </c>
      <c r="B120" s="29">
        <v>45931</v>
      </c>
      <c r="C120" s="35">
        <v>0</v>
      </c>
      <c r="D120" s="35">
        <v>0</v>
      </c>
      <c r="E120" s="35">
        <v>0</v>
      </c>
      <c r="F120" s="71">
        <v>60.43</v>
      </c>
      <c r="G120" s="71">
        <v>77.63</v>
      </c>
      <c r="H120" s="74">
        <f t="shared" si="13"/>
        <v>0</v>
      </c>
    </row>
    <row r="121" spans="1:9" x14ac:dyDescent="0.25">
      <c r="A121" s="26" t="s">
        <v>86</v>
      </c>
      <c r="B121" s="27">
        <v>45973</v>
      </c>
      <c r="C121" s="34">
        <v>0</v>
      </c>
      <c r="D121" s="34">
        <v>0</v>
      </c>
      <c r="E121" s="34">
        <v>0</v>
      </c>
      <c r="F121" s="70">
        <v>60.43</v>
      </c>
      <c r="G121" s="70">
        <v>77.63</v>
      </c>
      <c r="H121" s="73">
        <f t="shared" si="13"/>
        <v>0</v>
      </c>
    </row>
    <row r="122" spans="1:9" x14ac:dyDescent="0.25">
      <c r="A122" s="28" t="s">
        <v>104</v>
      </c>
      <c r="B122" s="29">
        <v>45994</v>
      </c>
      <c r="C122" s="35">
        <v>4753500</v>
      </c>
      <c r="D122" s="35">
        <v>1945905</v>
      </c>
      <c r="E122" s="35">
        <v>0</v>
      </c>
      <c r="F122" s="71">
        <v>32.22</v>
      </c>
      <c r="G122" s="71">
        <v>30.77</v>
      </c>
      <c r="H122" s="72">
        <f>ROUND((F122*C122)+(G122*D122),-3)</f>
        <v>213033000</v>
      </c>
    </row>
    <row r="123" spans="1:9" x14ac:dyDescent="0.25">
      <c r="A123" s="26" t="s">
        <v>105</v>
      </c>
      <c r="B123" s="27">
        <v>46071</v>
      </c>
      <c r="C123" s="34">
        <v>0</v>
      </c>
      <c r="D123" s="34">
        <v>0</v>
      </c>
      <c r="E123" s="34">
        <v>0</v>
      </c>
      <c r="F123" s="70">
        <v>60.43</v>
      </c>
      <c r="G123" s="70">
        <v>83.76</v>
      </c>
      <c r="H123" s="73">
        <f>ROUND((F123*C123)+(G123*D123),-3)</f>
        <v>0</v>
      </c>
    </row>
    <row r="124" spans="1:9" x14ac:dyDescent="0.25">
      <c r="A124" s="28" t="s">
        <v>106</v>
      </c>
      <c r="B124" s="29">
        <v>46085</v>
      </c>
      <c r="C124" s="35">
        <f>ROUNDDOWN('Appendix A - Supply Tables'!$B$185/4,0)</f>
        <v>3472588</v>
      </c>
      <c r="D124" s="35">
        <v>0</v>
      </c>
      <c r="E124" s="35">
        <v>0</v>
      </c>
      <c r="F124" s="71">
        <v>32.840000000000003</v>
      </c>
      <c r="G124" s="219">
        <v>0</v>
      </c>
      <c r="H124" s="72">
        <f>ROUND((F124*C124)+(G124*D124),-3)</f>
        <v>114040000</v>
      </c>
    </row>
    <row r="125" spans="1:9" x14ac:dyDescent="0.25">
      <c r="A125" s="26" t="s">
        <v>105</v>
      </c>
      <c r="B125" s="27">
        <v>46162</v>
      </c>
      <c r="C125" s="34">
        <v>0</v>
      </c>
      <c r="D125" s="34">
        <v>0</v>
      </c>
      <c r="E125" s="34">
        <v>0</v>
      </c>
      <c r="F125" s="70">
        <v>65.2</v>
      </c>
      <c r="G125" s="70">
        <v>83.76</v>
      </c>
      <c r="H125" s="73">
        <f>ROUND((F125*C125)+(G125*D125),-3)</f>
        <v>0</v>
      </c>
    </row>
    <row r="126" spans="1:9" x14ac:dyDescent="0.25">
      <c r="A126" s="28" t="s">
        <v>107</v>
      </c>
      <c r="B126" s="29">
        <v>46176</v>
      </c>
      <c r="C126" s="35">
        <f>ROUNDDOWN('Appendix A - Supply Tables'!$B$185/4,0)</f>
        <v>3472588</v>
      </c>
      <c r="D126" s="35">
        <f>ROUNDDOWN('Appendix A - Supply Tables'!$B$172/2,0)</f>
        <v>1744921</v>
      </c>
      <c r="E126" s="35">
        <v>0</v>
      </c>
      <c r="F126" s="71">
        <v>33.47</v>
      </c>
      <c r="G126" s="71">
        <v>31.36</v>
      </c>
      <c r="H126" s="72">
        <f>ROUND((F126*C126)+(G126*D126),-3)</f>
        <v>170948000</v>
      </c>
    </row>
    <row r="127" spans="1:9" x14ac:dyDescent="0.25">
      <c r="A127" s="30" t="s">
        <v>89</v>
      </c>
      <c r="B127" s="31" t="s">
        <v>90</v>
      </c>
      <c r="C127" s="32">
        <f>SUM(C117:C126)</f>
        <v>16298676</v>
      </c>
      <c r="D127" s="32">
        <f t="shared" ref="D127" si="14">SUM(D117:D126)</f>
        <v>3690826</v>
      </c>
      <c r="E127" s="32">
        <f t="shared" ref="E127" si="15">SUM(E117:E126)</f>
        <v>0</v>
      </c>
      <c r="F127" s="217"/>
      <c r="G127" s="217"/>
      <c r="H127" s="33">
        <f>(SUM(H117:H126))</f>
        <v>643565000</v>
      </c>
      <c r="I127" s="56"/>
    </row>
    <row r="129" spans="1:8" x14ac:dyDescent="0.25">
      <c r="A129" s="2" t="s">
        <v>193</v>
      </c>
      <c r="B129" s="9"/>
      <c r="C129" s="183"/>
      <c r="D129" s="183"/>
      <c r="E129" s="9"/>
      <c r="F129" s="184"/>
      <c r="G129" s="184"/>
      <c r="H129" s="9"/>
    </row>
    <row r="130" spans="1:8" ht="27.75" customHeight="1" x14ac:dyDescent="0.25">
      <c r="A130" s="23" t="s">
        <v>77</v>
      </c>
      <c r="B130" s="24" t="s">
        <v>108</v>
      </c>
      <c r="C130" s="214" t="s">
        <v>78</v>
      </c>
      <c r="D130" s="214" t="s">
        <v>79</v>
      </c>
      <c r="E130" s="24" t="s">
        <v>80</v>
      </c>
      <c r="F130" s="218" t="s">
        <v>81</v>
      </c>
      <c r="G130" s="218" t="s">
        <v>82</v>
      </c>
      <c r="H130" s="25" t="s">
        <v>83</v>
      </c>
    </row>
    <row r="131" spans="1:8" x14ac:dyDescent="0.25">
      <c r="A131" s="26" t="s">
        <v>105</v>
      </c>
      <c r="B131" s="27">
        <v>46239</v>
      </c>
      <c r="C131" s="34">
        <v>0</v>
      </c>
      <c r="D131" s="34">
        <v>0</v>
      </c>
      <c r="E131" s="34">
        <v>0</v>
      </c>
      <c r="F131" s="70">
        <v>65.2</v>
      </c>
      <c r="G131" s="70">
        <v>83.76</v>
      </c>
      <c r="H131" s="73">
        <f>ROUND((F131*C131)+(G131*D131),-3)</f>
        <v>0</v>
      </c>
    </row>
    <row r="132" spans="1:8" x14ac:dyDescent="0.25">
      <c r="A132" s="28" t="s">
        <v>109</v>
      </c>
      <c r="B132" s="29">
        <v>46267</v>
      </c>
      <c r="C132" s="35">
        <f>'Appendix A - Supply Tables'!$B$185/4</f>
        <v>3472588.75</v>
      </c>
      <c r="D132" s="35">
        <v>0</v>
      </c>
      <c r="E132" s="35">
        <v>0</v>
      </c>
      <c r="F132" s="71">
        <v>34.11</v>
      </c>
      <c r="G132" s="219">
        <v>0</v>
      </c>
      <c r="H132" s="72">
        <f>ROUND((F132*C132)+(G132*D132),-3)</f>
        <v>118450000</v>
      </c>
    </row>
    <row r="133" spans="1:8" x14ac:dyDescent="0.25">
      <c r="A133" s="26" t="s">
        <v>94</v>
      </c>
      <c r="B133" s="55" t="s">
        <v>95</v>
      </c>
      <c r="C133" s="107">
        <v>0</v>
      </c>
      <c r="D133" s="34">
        <v>0</v>
      </c>
      <c r="E133" s="34">
        <v>0</v>
      </c>
      <c r="F133" s="70">
        <v>34.11</v>
      </c>
      <c r="G133" s="220">
        <v>0</v>
      </c>
      <c r="H133" s="73">
        <f t="shared" ref="H133:H135" si="16">ROUND((F133*C133)+(G133*D133),-3)</f>
        <v>0</v>
      </c>
    </row>
    <row r="134" spans="1:8" x14ac:dyDescent="0.25">
      <c r="A134" s="28" t="s">
        <v>110</v>
      </c>
      <c r="B134" s="29">
        <v>46295</v>
      </c>
      <c r="C134" s="106">
        <v>0</v>
      </c>
      <c r="D134" s="35">
        <v>0</v>
      </c>
      <c r="E134" s="35">
        <v>0</v>
      </c>
      <c r="F134" s="71">
        <v>65.2</v>
      </c>
      <c r="G134" s="71">
        <v>83.76</v>
      </c>
      <c r="H134" s="74">
        <f t="shared" si="16"/>
        <v>0</v>
      </c>
    </row>
    <row r="135" spans="1:8" x14ac:dyDescent="0.25">
      <c r="A135" s="26" t="s">
        <v>105</v>
      </c>
      <c r="B135" s="27">
        <v>46344</v>
      </c>
      <c r="C135" s="107">
        <v>0</v>
      </c>
      <c r="D135" s="34">
        <v>0</v>
      </c>
      <c r="E135" s="34">
        <v>0</v>
      </c>
      <c r="F135" s="70">
        <v>65.2</v>
      </c>
      <c r="G135" s="70">
        <v>83.76</v>
      </c>
      <c r="H135" s="73">
        <f t="shared" si="16"/>
        <v>0</v>
      </c>
    </row>
    <row r="136" spans="1:8" x14ac:dyDescent="0.25">
      <c r="A136" s="28" t="s">
        <v>111</v>
      </c>
      <c r="B136" s="29">
        <v>46358</v>
      </c>
      <c r="C136" s="35">
        <f>'Appendix A - Supply Tables'!$B$185/4</f>
        <v>3472588.75</v>
      </c>
      <c r="D136" s="35">
        <f>('Appendix A - Supply Tables'!$B$172/2)</f>
        <v>1744921.5</v>
      </c>
      <c r="E136" s="35">
        <v>0</v>
      </c>
      <c r="F136" s="71">
        <v>34.76</v>
      </c>
      <c r="G136" s="71">
        <v>32.58</v>
      </c>
      <c r="H136" s="72">
        <f>ROUND((F136*C136)+(G136*D136),-3)</f>
        <v>177557000</v>
      </c>
    </row>
    <row r="137" spans="1:8" x14ac:dyDescent="0.25">
      <c r="A137" s="26" t="s">
        <v>105</v>
      </c>
      <c r="B137" s="27">
        <v>46435</v>
      </c>
      <c r="C137" s="34">
        <v>0</v>
      </c>
      <c r="D137" s="34">
        <v>0</v>
      </c>
      <c r="E137" s="34">
        <v>0</v>
      </c>
      <c r="F137" s="70">
        <v>65.2</v>
      </c>
      <c r="G137" s="70">
        <v>83.76</v>
      </c>
      <c r="H137" s="73">
        <f>ROUND((F137*C137)+(G137*D137),-3)</f>
        <v>0</v>
      </c>
    </row>
    <row r="138" spans="1:8" x14ac:dyDescent="0.25">
      <c r="A138" s="28" t="s">
        <v>112</v>
      </c>
      <c r="B138" s="29">
        <v>46449</v>
      </c>
      <c r="C138" s="142">
        <f>ROUNDDOWN('Appendix A - Supply Tables'!$B$186/4,0)</f>
        <v>2572525</v>
      </c>
      <c r="D138" s="35">
        <v>0</v>
      </c>
      <c r="E138" s="35">
        <v>0</v>
      </c>
      <c r="F138" s="71">
        <v>35.369999999999997</v>
      </c>
      <c r="G138" s="219">
        <v>0</v>
      </c>
      <c r="H138" s="72">
        <f>ROUND((F138*C138)+(G138*D138),-3)</f>
        <v>90990000</v>
      </c>
    </row>
    <row r="139" spans="1:8" x14ac:dyDescent="0.25">
      <c r="A139" s="26" t="s">
        <v>105</v>
      </c>
      <c r="B139" s="27">
        <v>46526</v>
      </c>
      <c r="C139" s="34">
        <v>0</v>
      </c>
      <c r="D139" s="34">
        <v>0</v>
      </c>
      <c r="E139" s="34">
        <v>0</v>
      </c>
      <c r="F139" s="70">
        <v>69.89</v>
      </c>
      <c r="G139" s="70">
        <v>89.79</v>
      </c>
      <c r="H139" s="73">
        <f>ROUND((F139*C139)+(G139*D139),-3)</f>
        <v>0</v>
      </c>
    </row>
    <row r="140" spans="1:8" x14ac:dyDescent="0.25">
      <c r="A140" s="28" t="s">
        <v>113</v>
      </c>
      <c r="B140" s="62">
        <v>46540</v>
      </c>
      <c r="C140" s="142">
        <f>ROUNDDOWN('Appendix A - Supply Tables'!$B$186/4,0)</f>
        <v>2572525</v>
      </c>
      <c r="D140" s="35">
        <f>('Appendix A - Supply Tables'!$B$173/2)</f>
        <v>1505889</v>
      </c>
      <c r="E140" s="35">
        <v>0</v>
      </c>
      <c r="F140" s="71">
        <v>35.99</v>
      </c>
      <c r="G140" s="71">
        <v>33.729999999999997</v>
      </c>
      <c r="H140" s="72">
        <f>ROUND((F140*C140)+(G140*D140),-3)</f>
        <v>143379000</v>
      </c>
    </row>
    <row r="141" spans="1:8" x14ac:dyDescent="0.25">
      <c r="A141" s="30" t="s">
        <v>89</v>
      </c>
      <c r="B141" s="31" t="s">
        <v>90</v>
      </c>
      <c r="C141" s="32">
        <f>SUM(C131:C140)</f>
        <v>12090227.5</v>
      </c>
      <c r="D141" s="32">
        <f t="shared" ref="D141" si="17">SUM(D131:D140)</f>
        <v>3250810.5</v>
      </c>
      <c r="E141" s="32">
        <f t="shared" ref="E141" si="18">SUM(E131:E140)</f>
        <v>0</v>
      </c>
      <c r="F141" s="217"/>
      <c r="G141" s="217"/>
      <c r="H141" s="33">
        <f>(SUM(H131:H140))</f>
        <v>530376000</v>
      </c>
    </row>
    <row r="142" spans="1:8" x14ac:dyDescent="0.25">
      <c r="C142" s="46"/>
      <c r="D142" s="46"/>
      <c r="F142" s="61"/>
      <c r="G142" s="61"/>
    </row>
    <row r="143" spans="1:8" x14ac:dyDescent="0.25">
      <c r="A143" s="2" t="s">
        <v>194</v>
      </c>
      <c r="C143" s="11"/>
      <c r="D143" s="11"/>
      <c r="F143" s="61"/>
      <c r="G143" s="61"/>
    </row>
    <row r="144" spans="1:8" ht="27.75" customHeight="1" x14ac:dyDescent="0.25">
      <c r="A144" s="23" t="s">
        <v>77</v>
      </c>
      <c r="B144" s="24" t="s">
        <v>114</v>
      </c>
      <c r="C144" s="214" t="s">
        <v>78</v>
      </c>
      <c r="D144" s="214" t="s">
        <v>79</v>
      </c>
      <c r="E144" s="24" t="s">
        <v>80</v>
      </c>
      <c r="F144" s="218" t="s">
        <v>81</v>
      </c>
      <c r="G144" s="218" t="s">
        <v>82</v>
      </c>
      <c r="H144" s="25" t="s">
        <v>83</v>
      </c>
    </row>
    <row r="145" spans="1:8" x14ac:dyDescent="0.25">
      <c r="A145" s="26" t="s">
        <v>86</v>
      </c>
      <c r="B145" s="27">
        <v>46603</v>
      </c>
      <c r="C145" s="34"/>
      <c r="D145" s="34"/>
      <c r="E145" s="34"/>
      <c r="F145" s="70">
        <v>69.89</v>
      </c>
      <c r="G145" s="70">
        <v>89.79</v>
      </c>
      <c r="H145" s="73">
        <f>ROUND((F145*C145)+(G145*D145),-3)</f>
        <v>0</v>
      </c>
    </row>
    <row r="146" spans="1:8" x14ac:dyDescent="0.25">
      <c r="A146" s="28" t="s">
        <v>115</v>
      </c>
      <c r="B146" s="29">
        <v>46631</v>
      </c>
      <c r="C146" s="142">
        <f>ROUNDUP('Appendix A - Supply Tables'!$B$186/4,0)</f>
        <v>2572526</v>
      </c>
      <c r="D146" s="35"/>
      <c r="E146" s="35"/>
      <c r="F146" s="71">
        <v>36.619999999999997</v>
      </c>
      <c r="G146" s="219">
        <v>0</v>
      </c>
      <c r="H146" s="72">
        <f>ROUND((F146*C146)+(G146*D146),-3)</f>
        <v>94206000</v>
      </c>
    </row>
    <row r="147" spans="1:8" x14ac:dyDescent="0.25">
      <c r="A147" s="26" t="s">
        <v>116</v>
      </c>
      <c r="B147" s="55">
        <v>46659</v>
      </c>
      <c r="C147" s="34"/>
      <c r="D147" s="34"/>
      <c r="E147" s="34"/>
      <c r="F147" s="70">
        <v>69.89</v>
      </c>
      <c r="G147" s="70">
        <v>89.79</v>
      </c>
      <c r="H147" s="73">
        <f t="shared" ref="H147:H149" si="19">ROUND((F147*C147)+(G147*D147),-3)</f>
        <v>0</v>
      </c>
    </row>
    <row r="148" spans="1:8" x14ac:dyDescent="0.25">
      <c r="A148" s="160" t="s">
        <v>117</v>
      </c>
      <c r="B148" s="29">
        <v>46687</v>
      </c>
      <c r="C148" s="35"/>
      <c r="D148" s="35"/>
      <c r="E148" s="35"/>
      <c r="F148" s="71">
        <v>80</v>
      </c>
      <c r="G148" s="219">
        <v>0</v>
      </c>
      <c r="H148" s="74">
        <f t="shared" si="19"/>
        <v>0</v>
      </c>
    </row>
    <row r="149" spans="1:8" x14ac:dyDescent="0.25">
      <c r="A149" s="26" t="s">
        <v>105</v>
      </c>
      <c r="B149" s="27">
        <v>46701</v>
      </c>
      <c r="C149" s="34"/>
      <c r="D149" s="34"/>
      <c r="E149" s="34"/>
      <c r="F149" s="70">
        <v>69.89</v>
      </c>
      <c r="G149" s="70">
        <v>89.79</v>
      </c>
      <c r="H149" s="73">
        <f t="shared" si="19"/>
        <v>0</v>
      </c>
    </row>
    <row r="150" spans="1:8" x14ac:dyDescent="0.25">
      <c r="A150" s="28" t="s">
        <v>118</v>
      </c>
      <c r="B150" s="29">
        <v>46722</v>
      </c>
      <c r="C150" s="142">
        <f>ROUNDUP('Appendix A - Supply Tables'!$B$186/4,0)</f>
        <v>2572526</v>
      </c>
      <c r="D150" s="35">
        <f>ROUNDDOWN('Appendix A - Supply Tables'!$B$173/2,0)</f>
        <v>1505889</v>
      </c>
      <c r="E150" s="35"/>
      <c r="F150" s="71">
        <v>37.26</v>
      </c>
      <c r="G150" s="71">
        <v>34.92</v>
      </c>
      <c r="H150" s="72">
        <f>ROUND((F150*C150)+(G150*D150),-3)</f>
        <v>148438000</v>
      </c>
    </row>
    <row r="151" spans="1:8" x14ac:dyDescent="0.25">
      <c r="A151" s="26" t="s">
        <v>105</v>
      </c>
      <c r="B151" s="27">
        <v>46799</v>
      </c>
      <c r="C151" s="34"/>
      <c r="D151" s="34"/>
      <c r="E151" s="34"/>
      <c r="F151" s="70">
        <v>69.89</v>
      </c>
      <c r="G151" s="70">
        <v>89.79</v>
      </c>
      <c r="H151" s="73">
        <f>ROUND((F151*C151)+(G151*D151),-3)</f>
        <v>0</v>
      </c>
    </row>
    <row r="152" spans="1:8" x14ac:dyDescent="0.25">
      <c r="A152" s="28" t="s">
        <v>119</v>
      </c>
      <c r="B152" s="29">
        <v>46813</v>
      </c>
      <c r="C152" s="35">
        <f>ROUNDDOWN('Appendix A - Supply Tables'!$B$187/4,0)</f>
        <v>1581193</v>
      </c>
      <c r="D152" s="35"/>
      <c r="E152" s="35"/>
      <c r="F152" s="71">
        <v>37.9</v>
      </c>
      <c r="G152" s="219">
        <v>0</v>
      </c>
      <c r="H152" s="72">
        <f>ROUND((F152*C152)+(G152*D152),-3)</f>
        <v>59927000</v>
      </c>
    </row>
    <row r="153" spans="1:8" x14ac:dyDescent="0.25">
      <c r="A153" s="26" t="s">
        <v>105</v>
      </c>
      <c r="B153" s="27">
        <v>46897</v>
      </c>
      <c r="C153" s="34"/>
      <c r="D153" s="34"/>
      <c r="E153" s="34"/>
      <c r="F153" s="70">
        <v>74.78</v>
      </c>
      <c r="G153" s="70">
        <v>96.08</v>
      </c>
      <c r="H153" s="73">
        <f>ROUND((F153*C153)+(G153*D153),-3)</f>
        <v>0</v>
      </c>
    </row>
    <row r="154" spans="1:8" x14ac:dyDescent="0.25">
      <c r="A154" s="28" t="s">
        <v>120</v>
      </c>
      <c r="B154" s="62">
        <v>46911</v>
      </c>
      <c r="C154" s="35">
        <f>ROUNDDOWN('Appendix A - Supply Tables'!$B$187/4,0)</f>
        <v>1581193</v>
      </c>
      <c r="D154" s="35">
        <f>ROUNDDOWN('Appendix A - Supply Tables'!$B$174/2,0)</f>
        <v>1484685</v>
      </c>
      <c r="E154" s="35"/>
      <c r="F154" s="71">
        <v>38.549999999999997</v>
      </c>
      <c r="G154" s="71">
        <v>36.119999999999997</v>
      </c>
      <c r="H154" s="72">
        <f>ROUND((F154*C154)+(G154*D154),-3)</f>
        <v>114582000</v>
      </c>
    </row>
    <row r="155" spans="1:8" x14ac:dyDescent="0.25">
      <c r="A155" s="30" t="s">
        <v>89</v>
      </c>
      <c r="B155" s="31"/>
      <c r="C155" s="32">
        <f>SUM(C145:C154)</f>
        <v>8307438</v>
      </c>
      <c r="D155" s="32">
        <f t="shared" ref="D155" si="20">SUM(D145:D154)</f>
        <v>2990574</v>
      </c>
      <c r="E155" s="32">
        <f t="shared" ref="E155" si="21">SUM(E145:E154)</f>
        <v>0</v>
      </c>
      <c r="F155" s="217"/>
      <c r="G155" s="217"/>
      <c r="H155" s="33">
        <f>(SUM(H145:H154))</f>
        <v>417153000</v>
      </c>
    </row>
    <row r="156" spans="1:8" x14ac:dyDescent="0.25">
      <c r="C156" s="11"/>
      <c r="D156" s="11"/>
      <c r="F156" s="61"/>
      <c r="G156" s="61"/>
    </row>
    <row r="157" spans="1:8" x14ac:dyDescent="0.25">
      <c r="A157" s="2" t="s">
        <v>195</v>
      </c>
      <c r="C157" s="11"/>
      <c r="D157" s="11"/>
      <c r="F157" s="61"/>
      <c r="G157" s="61"/>
    </row>
    <row r="158" spans="1:8" ht="25.5" x14ac:dyDescent="0.25">
      <c r="A158" s="23" t="s">
        <v>77</v>
      </c>
      <c r="B158" s="24" t="s">
        <v>121</v>
      </c>
      <c r="C158" s="214" t="s">
        <v>78</v>
      </c>
      <c r="D158" s="214" t="s">
        <v>79</v>
      </c>
      <c r="E158" s="24" t="s">
        <v>80</v>
      </c>
      <c r="F158" s="218" t="s">
        <v>81</v>
      </c>
      <c r="G158" s="218" t="s">
        <v>82</v>
      </c>
      <c r="H158" s="25" t="s">
        <v>83</v>
      </c>
    </row>
    <row r="159" spans="1:8" x14ac:dyDescent="0.25">
      <c r="A159" s="26" t="s">
        <v>105</v>
      </c>
      <c r="B159" s="27">
        <v>46974</v>
      </c>
      <c r="C159" s="34"/>
      <c r="D159" s="34"/>
      <c r="E159" s="34"/>
      <c r="F159" s="70">
        <v>74.78</v>
      </c>
      <c r="G159" s="70">
        <v>96.08</v>
      </c>
      <c r="H159" s="73">
        <f>ROUND((F159*C159)+(G159*D159),-3)</f>
        <v>0</v>
      </c>
    </row>
    <row r="160" spans="1:8" x14ac:dyDescent="0.25">
      <c r="A160" s="28" t="s">
        <v>122</v>
      </c>
      <c r="B160" s="29">
        <v>47002</v>
      </c>
      <c r="C160" s="35">
        <f>ROUNDUP('Appendix A - Supply Tables'!$B$187/4,0)</f>
        <v>1581194</v>
      </c>
      <c r="D160" s="209">
        <v>0</v>
      </c>
      <c r="E160" s="35"/>
      <c r="F160" s="71">
        <v>39.21</v>
      </c>
      <c r="G160" s="219">
        <v>0</v>
      </c>
      <c r="H160" s="72">
        <f>ROUND((F160*C160)+(G160*D160),-3)</f>
        <v>61999000</v>
      </c>
    </row>
    <row r="161" spans="1:8" x14ac:dyDescent="0.25">
      <c r="A161" s="189" t="s">
        <v>123</v>
      </c>
      <c r="B161" s="190">
        <v>47051</v>
      </c>
      <c r="C161" s="34"/>
      <c r="D161" s="34"/>
      <c r="E161" s="191"/>
      <c r="F161" s="192">
        <v>74.78</v>
      </c>
      <c r="G161" s="192">
        <v>96.08</v>
      </c>
      <c r="H161" s="193">
        <f t="shared" ref="H161:H162" si="22">ROUND((F161*C161)+(G161*D161),-3)</f>
        <v>0</v>
      </c>
    </row>
    <row r="162" spans="1:8" x14ac:dyDescent="0.25">
      <c r="A162" s="195" t="s">
        <v>105</v>
      </c>
      <c r="B162" s="196">
        <v>47072</v>
      </c>
      <c r="C162" s="35"/>
      <c r="D162" s="35"/>
      <c r="E162" s="198"/>
      <c r="F162" s="199">
        <v>74.78</v>
      </c>
      <c r="G162" s="199">
        <v>96.08</v>
      </c>
      <c r="H162" s="200">
        <f t="shared" si="22"/>
        <v>0</v>
      </c>
    </row>
    <row r="163" spans="1:8" x14ac:dyDescent="0.25">
      <c r="A163" s="189" t="s">
        <v>124</v>
      </c>
      <c r="B163" s="190">
        <v>47093</v>
      </c>
      <c r="C163" s="34">
        <f>ROUNDUP('Appendix A - Supply Tables'!$B$187/4,0)</f>
        <v>1581194</v>
      </c>
      <c r="D163" s="34">
        <f>ROUNDUP('Appendix A - Supply Tables'!$B$174/2,0)</f>
        <v>1484686</v>
      </c>
      <c r="E163" s="191"/>
      <c r="F163" s="192">
        <v>39.880000000000003</v>
      </c>
      <c r="G163" s="192">
        <v>37.36</v>
      </c>
      <c r="H163" s="194">
        <f>ROUND((F163*C163)+(G163*D163),-3)</f>
        <v>118526000</v>
      </c>
    </row>
    <row r="164" spans="1:8" x14ac:dyDescent="0.25">
      <c r="A164" s="195" t="s">
        <v>105</v>
      </c>
      <c r="B164" s="197">
        <v>47170</v>
      </c>
      <c r="C164" s="35"/>
      <c r="D164" s="35"/>
      <c r="E164" s="198"/>
      <c r="F164" s="199">
        <v>74.78</v>
      </c>
      <c r="G164" s="199">
        <v>96.08</v>
      </c>
      <c r="H164" s="200">
        <f>ROUND((F164*C164)+(G164*D164),-3)</f>
        <v>0</v>
      </c>
    </row>
    <row r="165" spans="1:8" ht="14.25" customHeight="1" x14ac:dyDescent="0.25">
      <c r="A165" s="189" t="s">
        <v>125</v>
      </c>
      <c r="B165" s="190">
        <v>47184</v>
      </c>
      <c r="C165" s="34">
        <f>ROUNDDOWN('Appendix A - Supply Tables'!$B$188/4,0)</f>
        <v>855528</v>
      </c>
      <c r="D165" s="34"/>
      <c r="E165" s="191"/>
      <c r="F165" s="192">
        <v>40.549999999999997</v>
      </c>
      <c r="G165" s="192">
        <v>37.99</v>
      </c>
      <c r="H165" s="194">
        <f>ROUND((F165*C165)+(G165*D165),-3)</f>
        <v>34692000</v>
      </c>
    </row>
    <row r="166" spans="1:8" x14ac:dyDescent="0.25">
      <c r="A166" s="195" t="s">
        <v>105</v>
      </c>
      <c r="B166" s="197">
        <v>47261</v>
      </c>
      <c r="C166" s="35"/>
      <c r="D166" s="35"/>
      <c r="E166" s="198"/>
      <c r="F166" s="199">
        <v>79.94</v>
      </c>
      <c r="G166" s="199">
        <v>102.71</v>
      </c>
      <c r="H166" s="200">
        <f>ROUND((F166*C166)+(G166*D166),-3)</f>
        <v>0</v>
      </c>
    </row>
    <row r="167" spans="1:8" x14ac:dyDescent="0.25">
      <c r="A167" s="189" t="s">
        <v>126</v>
      </c>
      <c r="B167" s="190">
        <v>47275</v>
      </c>
      <c r="C167" s="34">
        <f>ROUNDDOWN('Appendix A - Supply Tables'!$B$188/4,0)</f>
        <v>855528</v>
      </c>
      <c r="D167" s="34">
        <f>'Appendix A - Supply Tables'!$B$175/2</f>
        <v>1422482</v>
      </c>
      <c r="E167" s="191"/>
      <c r="F167" s="192">
        <v>41.23</v>
      </c>
      <c r="G167" s="192">
        <v>38.630000000000003</v>
      </c>
      <c r="H167" s="194">
        <f>ROUND((F167*C167)+(G167*D167),-3)</f>
        <v>90224000</v>
      </c>
    </row>
    <row r="168" spans="1:8" x14ac:dyDescent="0.25">
      <c r="A168" s="30" t="s">
        <v>89</v>
      </c>
      <c r="B168" s="31"/>
      <c r="C168" s="32">
        <f>SUM(C159:C167)</f>
        <v>4873444</v>
      </c>
      <c r="D168" s="32">
        <f>SUM(D159:D167)</f>
        <v>2907168</v>
      </c>
      <c r="E168" s="32">
        <f>SUM(E159:E167)</f>
        <v>0</v>
      </c>
      <c r="F168" s="217"/>
      <c r="G168" s="217"/>
      <c r="H168" s="33">
        <f>(SUM(H159:H167))</f>
        <v>305441000</v>
      </c>
    </row>
    <row r="169" spans="1:8" x14ac:dyDescent="0.25">
      <c r="C169" s="11"/>
      <c r="D169" s="11"/>
      <c r="F169" s="61"/>
      <c r="G169" s="61"/>
    </row>
    <row r="170" spans="1:8" x14ac:dyDescent="0.25">
      <c r="A170" s="2" t="s">
        <v>196</v>
      </c>
      <c r="C170" s="11"/>
      <c r="D170" s="11"/>
      <c r="F170" s="61"/>
      <c r="G170" s="61"/>
    </row>
    <row r="171" spans="1:8" ht="25.5" x14ac:dyDescent="0.25">
      <c r="A171" s="23" t="s">
        <v>77</v>
      </c>
      <c r="B171" s="24" t="s">
        <v>138</v>
      </c>
      <c r="C171" s="214" t="s">
        <v>78</v>
      </c>
      <c r="D171" s="214" t="s">
        <v>79</v>
      </c>
      <c r="E171" s="24" t="s">
        <v>80</v>
      </c>
      <c r="F171" s="218" t="s">
        <v>81</v>
      </c>
      <c r="G171" s="218" t="s">
        <v>82</v>
      </c>
      <c r="H171" s="25" t="s">
        <v>83</v>
      </c>
    </row>
    <row r="172" spans="1:8" x14ac:dyDescent="0.25">
      <c r="A172" s="26" t="s">
        <v>86</v>
      </c>
      <c r="B172" s="27">
        <v>47352</v>
      </c>
      <c r="C172" s="34"/>
      <c r="D172" s="34"/>
      <c r="E172" s="34"/>
      <c r="F172" s="70">
        <v>79.94</v>
      </c>
      <c r="G172" s="70">
        <v>102.71</v>
      </c>
      <c r="H172" s="73">
        <f>ROUND((F172*C172)+(G172*D172),-3)</f>
        <v>0</v>
      </c>
    </row>
    <row r="173" spans="1:8" x14ac:dyDescent="0.25">
      <c r="A173" s="28" t="s">
        <v>139</v>
      </c>
      <c r="B173" s="29">
        <v>47366</v>
      </c>
      <c r="C173" s="35">
        <f>ROUNDUP('Appendix A - Supply Tables'!$B$188/4,0)</f>
        <v>855529</v>
      </c>
      <c r="D173" s="35">
        <v>0</v>
      </c>
      <c r="E173" s="35"/>
      <c r="F173" s="71">
        <v>41.93</v>
      </c>
      <c r="G173" s="219">
        <v>0</v>
      </c>
      <c r="H173" s="72">
        <f>ROUND((F173*C173)+(G173*D173),-3)</f>
        <v>35872000</v>
      </c>
    </row>
    <row r="174" spans="1:8" x14ac:dyDescent="0.25">
      <c r="A174" s="189" t="s">
        <v>140</v>
      </c>
      <c r="B174" s="190">
        <v>47387</v>
      </c>
      <c r="C174" s="34"/>
      <c r="D174" s="34"/>
      <c r="E174" s="191"/>
      <c r="F174" s="192">
        <v>79.94</v>
      </c>
      <c r="G174" s="192">
        <v>102.71</v>
      </c>
      <c r="H174" s="193">
        <f t="shared" ref="H174:H175" si="23">ROUND((F174*C174)+(G174*D174),-3)</f>
        <v>0</v>
      </c>
    </row>
    <row r="175" spans="1:8" x14ac:dyDescent="0.25">
      <c r="A175" s="195" t="s">
        <v>86</v>
      </c>
      <c r="B175" s="196">
        <v>47443</v>
      </c>
      <c r="C175" s="35"/>
      <c r="D175" s="35"/>
      <c r="E175" s="198"/>
      <c r="F175" s="199">
        <v>79.94</v>
      </c>
      <c r="G175" s="199">
        <v>102.71</v>
      </c>
      <c r="H175" s="200">
        <f t="shared" si="23"/>
        <v>0</v>
      </c>
    </row>
    <row r="176" spans="1:8" x14ac:dyDescent="0.25">
      <c r="A176" s="189" t="s">
        <v>141</v>
      </c>
      <c r="B176" s="190">
        <v>47457</v>
      </c>
      <c r="C176" s="34">
        <f>ROUNDUP('Appendix A - Supply Tables'!$B$188/4,0)</f>
        <v>855529</v>
      </c>
      <c r="D176" s="34">
        <f>'Appendix A - Supply Tables'!$B$175/2</f>
        <v>1422482</v>
      </c>
      <c r="E176" s="191"/>
      <c r="F176" s="192">
        <v>42.65</v>
      </c>
      <c r="G176" s="192">
        <v>39.96</v>
      </c>
      <c r="H176" s="194">
        <f>ROUND((F176*C176)+(G176*D176),-3)</f>
        <v>93331000</v>
      </c>
    </row>
    <row r="177" spans="1:9" x14ac:dyDescent="0.25">
      <c r="A177" s="195" t="s">
        <v>105</v>
      </c>
      <c r="B177" s="197">
        <v>47534</v>
      </c>
      <c r="C177" s="35"/>
      <c r="D177" s="35"/>
      <c r="E177" s="198"/>
      <c r="F177" s="199">
        <v>79.94</v>
      </c>
      <c r="G177" s="199">
        <v>102.71</v>
      </c>
      <c r="H177" s="200">
        <f>ROUND((F177*C177)+(G177*D177),-3)</f>
        <v>0</v>
      </c>
    </row>
    <row r="178" spans="1:9" x14ac:dyDescent="0.25">
      <c r="A178" s="189" t="s">
        <v>142</v>
      </c>
      <c r="B178" s="190">
        <v>47549</v>
      </c>
      <c r="C178" s="34">
        <f>ROUNDUP('Appendix A - Supply Tables'!$B$189/4,0)</f>
        <v>806060</v>
      </c>
      <c r="D178" s="34">
        <v>0</v>
      </c>
      <c r="E178" s="191"/>
      <c r="F178" s="192">
        <v>43.37</v>
      </c>
      <c r="G178" s="192">
        <v>40.630000000000003</v>
      </c>
      <c r="H178" s="194">
        <f>ROUND((F178*C178)+(G178*D178),-3)</f>
        <v>34959000</v>
      </c>
    </row>
    <row r="179" spans="1:9" x14ac:dyDescent="0.25">
      <c r="A179" s="195" t="s">
        <v>105</v>
      </c>
      <c r="B179" s="197">
        <v>47626</v>
      </c>
      <c r="C179" s="35"/>
      <c r="D179" s="35"/>
      <c r="E179" s="198"/>
      <c r="F179" s="199">
        <v>85.46</v>
      </c>
      <c r="G179" s="199">
        <v>109.8</v>
      </c>
      <c r="H179" s="200">
        <f>ROUND((F179*C179)+(G179*D179),-3)</f>
        <v>0</v>
      </c>
    </row>
    <row r="180" spans="1:9" x14ac:dyDescent="0.25">
      <c r="A180" s="189" t="s">
        <v>143</v>
      </c>
      <c r="B180" s="190">
        <v>47640</v>
      </c>
      <c r="C180" s="34">
        <f>ROUNDDOWN('Appendix A - Supply Tables'!$B$189/4,0)</f>
        <v>806059</v>
      </c>
      <c r="D180" s="34">
        <f>ROUNDDOWN('Appendix A - Supply Tables'!$B$176/2,0)</f>
        <v>1360278</v>
      </c>
      <c r="E180" s="191"/>
      <c r="F180" s="192">
        <v>44.1</v>
      </c>
      <c r="G180" s="192">
        <v>41.31</v>
      </c>
      <c r="H180" s="194">
        <f>ROUND((F180*C180)+(G180*D180),-3)</f>
        <v>91740000</v>
      </c>
    </row>
    <row r="181" spans="1:9" x14ac:dyDescent="0.25">
      <c r="A181" s="30" t="s">
        <v>89</v>
      </c>
      <c r="B181" s="31"/>
      <c r="C181" s="32">
        <f>SUM(C172:C180)</f>
        <v>3323177</v>
      </c>
      <c r="D181" s="32">
        <f>SUM(D172:D180)</f>
        <v>2782760</v>
      </c>
      <c r="E181" s="32">
        <f>SUM(E172:E180)</f>
        <v>0</v>
      </c>
      <c r="F181" s="217"/>
      <c r="G181" s="217"/>
      <c r="H181" s="33">
        <f>(SUM(H172:H180))</f>
        <v>255902000</v>
      </c>
    </row>
    <row r="182" spans="1:9" x14ac:dyDescent="0.25">
      <c r="C182" s="11"/>
      <c r="D182" s="11"/>
      <c r="F182" s="61"/>
      <c r="G182" s="61"/>
    </row>
    <row r="183" spans="1:9" x14ac:dyDescent="0.25">
      <c r="C183" s="11"/>
      <c r="D183" s="11"/>
      <c r="F183" s="61"/>
      <c r="G183" s="61"/>
    </row>
    <row r="184" spans="1:9" ht="17.25" x14ac:dyDescent="0.3">
      <c r="A184" s="10" t="s">
        <v>129</v>
      </c>
      <c r="C184" s="11"/>
      <c r="D184" s="11"/>
      <c r="F184" s="61"/>
      <c r="G184" s="61"/>
      <c r="I184" s="56"/>
    </row>
    <row r="185" spans="1:9" x14ac:dyDescent="0.25">
      <c r="A185" s="2" t="s">
        <v>197</v>
      </c>
      <c r="B185" s="9"/>
      <c r="C185" s="183"/>
      <c r="D185" s="183"/>
      <c r="E185" s="9"/>
      <c r="F185" s="184"/>
      <c r="G185" s="184"/>
    </row>
    <row r="186" spans="1:9" ht="25.5" x14ac:dyDescent="0.25">
      <c r="A186" s="23" t="s">
        <v>77</v>
      </c>
      <c r="B186" s="24" t="s">
        <v>91</v>
      </c>
      <c r="C186" s="214" t="s">
        <v>78</v>
      </c>
      <c r="D186" s="214" t="s">
        <v>79</v>
      </c>
      <c r="E186" s="24" t="s">
        <v>80</v>
      </c>
      <c r="F186" s="218" t="s">
        <v>81</v>
      </c>
      <c r="G186" s="218" t="s">
        <v>82</v>
      </c>
      <c r="H186" s="25" t="s">
        <v>83</v>
      </c>
    </row>
    <row r="187" spans="1:9" x14ac:dyDescent="0.25">
      <c r="A187" s="26" t="s">
        <v>86</v>
      </c>
      <c r="B187" s="27">
        <v>45511</v>
      </c>
      <c r="C187" s="34">
        <v>0</v>
      </c>
      <c r="D187" s="34">
        <v>0</v>
      </c>
      <c r="E187" s="34"/>
      <c r="F187" s="68">
        <v>56.16</v>
      </c>
      <c r="G187" s="68">
        <v>72.150000000000006</v>
      </c>
      <c r="H187" s="73">
        <v>0</v>
      </c>
    </row>
    <row r="188" spans="1:9" x14ac:dyDescent="0.25">
      <c r="A188" s="28" t="s">
        <v>92</v>
      </c>
      <c r="B188" s="29">
        <v>45539</v>
      </c>
      <c r="C188" s="35">
        <v>5260000</v>
      </c>
      <c r="D188" s="35"/>
      <c r="E188" s="35"/>
      <c r="F188" s="71">
        <v>29.88</v>
      </c>
      <c r="G188" s="71">
        <v>0</v>
      </c>
      <c r="H188" s="72">
        <f>C188*F188</f>
        <v>157168800</v>
      </c>
    </row>
    <row r="189" spans="1:9" x14ac:dyDescent="0.25">
      <c r="A189" s="26" t="s">
        <v>93</v>
      </c>
      <c r="B189" s="27">
        <v>45567</v>
      </c>
      <c r="C189" s="34">
        <v>0</v>
      </c>
      <c r="D189" s="34">
        <v>0</v>
      </c>
      <c r="E189" s="34">
        <v>1022000</v>
      </c>
      <c r="F189" s="68">
        <v>56.16</v>
      </c>
      <c r="G189" s="68">
        <v>72.150000000000006</v>
      </c>
      <c r="H189" s="157">
        <f>E189*F189</f>
        <v>57395520</v>
      </c>
    </row>
    <row r="190" spans="1:9" x14ac:dyDescent="0.25">
      <c r="A190" s="28" t="s">
        <v>94</v>
      </c>
      <c r="B190" s="63" t="s">
        <v>95</v>
      </c>
      <c r="C190" s="35">
        <v>0</v>
      </c>
      <c r="D190" s="35">
        <v>0</v>
      </c>
      <c r="E190" s="35"/>
      <c r="F190" s="71"/>
      <c r="G190" s="71"/>
      <c r="H190" s="74">
        <v>0</v>
      </c>
    </row>
    <row r="191" spans="1:9" x14ac:dyDescent="0.25">
      <c r="A191" s="26" t="s">
        <v>105</v>
      </c>
      <c r="B191" s="27">
        <v>45602</v>
      </c>
      <c r="C191" s="34"/>
      <c r="D191" s="34">
        <v>0</v>
      </c>
      <c r="E191" s="34"/>
      <c r="F191" s="68">
        <v>56.16</v>
      </c>
      <c r="G191" s="68">
        <v>72.150000000000006</v>
      </c>
      <c r="H191" s="73">
        <v>0</v>
      </c>
    </row>
    <row r="192" spans="1:9" x14ac:dyDescent="0.25">
      <c r="A192" s="28" t="s">
        <v>96</v>
      </c>
      <c r="B192" s="29">
        <v>45630</v>
      </c>
      <c r="C192" s="35">
        <v>5312871</v>
      </c>
      <c r="D192" s="35">
        <v>2222832</v>
      </c>
      <c r="E192" s="35"/>
      <c r="F192" s="71">
        <v>40.26</v>
      </c>
      <c r="G192" s="71">
        <v>26</v>
      </c>
      <c r="H192" s="72">
        <f>C192*F192+D192*G192</f>
        <v>271689818.45999998</v>
      </c>
    </row>
    <row r="193" spans="1:9" x14ac:dyDescent="0.25">
      <c r="A193" s="26" t="s">
        <v>105</v>
      </c>
      <c r="B193" s="27">
        <v>45707</v>
      </c>
      <c r="C193" s="34">
        <v>0</v>
      </c>
      <c r="D193" s="34">
        <v>0</v>
      </c>
      <c r="E193" s="34"/>
      <c r="F193" s="68">
        <v>56.16</v>
      </c>
      <c r="G193" s="68">
        <v>72.150000000000006</v>
      </c>
      <c r="H193" s="73">
        <v>0</v>
      </c>
    </row>
    <row r="194" spans="1:9" x14ac:dyDescent="0.25">
      <c r="A194" s="28" t="s">
        <v>99</v>
      </c>
      <c r="B194" s="29">
        <v>45721</v>
      </c>
      <c r="C194" s="35">
        <v>4600000</v>
      </c>
      <c r="D194" s="35">
        <v>0</v>
      </c>
      <c r="E194" s="35"/>
      <c r="F194" s="71">
        <v>50</v>
      </c>
      <c r="G194" s="71">
        <v>0</v>
      </c>
      <c r="H194" s="72">
        <f>C194*F194</f>
        <v>230000000</v>
      </c>
    </row>
    <row r="195" spans="1:9" x14ac:dyDescent="0.25">
      <c r="A195" s="26" t="s">
        <v>105</v>
      </c>
      <c r="B195" s="27">
        <v>45798</v>
      </c>
      <c r="C195" s="34"/>
      <c r="D195" s="34"/>
      <c r="E195" s="34"/>
      <c r="F195" s="70">
        <v>60.43</v>
      </c>
      <c r="G195" s="70">
        <v>77.63</v>
      </c>
      <c r="H195" s="73">
        <v>0</v>
      </c>
    </row>
    <row r="196" spans="1:9" x14ac:dyDescent="0.25">
      <c r="A196" s="28" t="s">
        <v>100</v>
      </c>
      <c r="B196" s="29">
        <v>45812</v>
      </c>
      <c r="C196" s="35">
        <v>4600000</v>
      </c>
      <c r="D196" s="35">
        <v>2000000</v>
      </c>
      <c r="E196" s="35"/>
      <c r="F196" s="71">
        <v>58.51</v>
      </c>
      <c r="G196" s="71">
        <v>26.61</v>
      </c>
      <c r="H196" s="72">
        <f>C196*F196+D196*G196</f>
        <v>322366000</v>
      </c>
    </row>
    <row r="197" spans="1:9" x14ac:dyDescent="0.25">
      <c r="A197" s="30" t="s">
        <v>89</v>
      </c>
      <c r="B197" s="31" t="s">
        <v>90</v>
      </c>
      <c r="C197" s="32">
        <f>SUM(C187:C196)</f>
        <v>19772871</v>
      </c>
      <c r="D197" s="32">
        <f t="shared" ref="D197" si="24">SUM(D187:D196)</f>
        <v>4222832</v>
      </c>
      <c r="E197" s="32">
        <f t="shared" ref="E197" si="25">SUM(E187:E196)</f>
        <v>1022000</v>
      </c>
      <c r="F197" s="217"/>
      <c r="G197" s="217"/>
      <c r="H197" s="33">
        <f>(SUM(H187:H196))</f>
        <v>1038620138.46</v>
      </c>
    </row>
    <row r="198" spans="1:9" x14ac:dyDescent="0.25">
      <c r="C198" s="11"/>
      <c r="D198" s="11"/>
      <c r="F198" s="61"/>
      <c r="G198" s="61"/>
      <c r="I198" t="s">
        <v>97</v>
      </c>
    </row>
    <row r="199" spans="1:9" x14ac:dyDescent="0.25">
      <c r="A199" s="2" t="s">
        <v>198</v>
      </c>
      <c r="B199" s="9"/>
      <c r="C199" s="183"/>
      <c r="D199" s="183"/>
      <c r="E199" s="9"/>
      <c r="F199" s="184"/>
      <c r="G199" s="184"/>
      <c r="H199" s="9"/>
      <c r="I199" t="s">
        <v>98</v>
      </c>
    </row>
    <row r="200" spans="1:9" ht="25.5" x14ac:dyDescent="0.25">
      <c r="A200" s="23" t="s">
        <v>77</v>
      </c>
      <c r="B200" s="24" t="s">
        <v>101</v>
      </c>
      <c r="C200" s="214" t="s">
        <v>78</v>
      </c>
      <c r="D200" s="214" t="s">
        <v>79</v>
      </c>
      <c r="E200" s="24" t="s">
        <v>80</v>
      </c>
      <c r="F200" s="218" t="s">
        <v>81</v>
      </c>
      <c r="G200" s="218" t="s">
        <v>82</v>
      </c>
      <c r="H200" s="25" t="s">
        <v>83</v>
      </c>
    </row>
    <row r="201" spans="1:9" x14ac:dyDescent="0.25">
      <c r="A201" s="26" t="s">
        <v>105</v>
      </c>
      <c r="B201" s="27">
        <v>45875</v>
      </c>
      <c r="C201" s="34">
        <v>0</v>
      </c>
      <c r="D201" s="34">
        <v>0</v>
      </c>
      <c r="E201" s="34">
        <v>0</v>
      </c>
      <c r="F201" s="70">
        <v>60.43</v>
      </c>
      <c r="G201" s="70">
        <v>77.63</v>
      </c>
      <c r="H201" s="73">
        <f>ROUND((F201*C201)+(G201*D201),-3)</f>
        <v>0</v>
      </c>
    </row>
    <row r="202" spans="1:9" x14ac:dyDescent="0.25">
      <c r="A202" s="28" t="s">
        <v>102</v>
      </c>
      <c r="B202" s="29">
        <v>45903</v>
      </c>
      <c r="C202" s="35">
        <v>4600000</v>
      </c>
      <c r="D202" s="35">
        <v>0</v>
      </c>
      <c r="E202" s="35">
        <v>0</v>
      </c>
      <c r="F202" s="159">
        <v>57.62</v>
      </c>
      <c r="G202" s="219">
        <v>0</v>
      </c>
      <c r="H202" s="72">
        <f>ROUND((F202*C202)+(G202*D202),-3)</f>
        <v>265052000</v>
      </c>
    </row>
    <row r="203" spans="1:9" x14ac:dyDescent="0.25">
      <c r="A203" s="26" t="s">
        <v>94</v>
      </c>
      <c r="B203" s="55" t="s">
        <v>95</v>
      </c>
      <c r="C203" s="34">
        <v>0</v>
      </c>
      <c r="D203" s="34">
        <v>0</v>
      </c>
      <c r="E203" s="34">
        <v>0</v>
      </c>
      <c r="F203" s="70">
        <v>57.62</v>
      </c>
      <c r="G203" s="220">
        <v>0</v>
      </c>
      <c r="H203" s="73">
        <f t="shared" ref="H203:H205" si="26">ROUND((F203*C203)+(G203*D203),-3)</f>
        <v>0</v>
      </c>
    </row>
    <row r="204" spans="1:9" x14ac:dyDescent="0.25">
      <c r="A204" s="28" t="s">
        <v>103</v>
      </c>
      <c r="B204" s="29">
        <v>45931</v>
      </c>
      <c r="C204" s="35">
        <v>0</v>
      </c>
      <c r="D204" s="35">
        <v>0</v>
      </c>
      <c r="E204" s="35">
        <v>0</v>
      </c>
      <c r="F204" s="71">
        <v>60.43</v>
      </c>
      <c r="G204" s="71">
        <v>77.63</v>
      </c>
      <c r="H204" s="74">
        <f t="shared" si="26"/>
        <v>0</v>
      </c>
    </row>
    <row r="205" spans="1:9" x14ac:dyDescent="0.25">
      <c r="A205" s="26" t="s">
        <v>105</v>
      </c>
      <c r="B205" s="27">
        <v>45973</v>
      </c>
      <c r="C205" s="34">
        <v>0</v>
      </c>
      <c r="D205" s="34">
        <v>0</v>
      </c>
      <c r="E205" s="34">
        <v>0</v>
      </c>
      <c r="F205" s="70">
        <v>60.43</v>
      </c>
      <c r="G205" s="70">
        <v>77.63</v>
      </c>
      <c r="H205" s="73">
        <f t="shared" si="26"/>
        <v>0</v>
      </c>
    </row>
    <row r="206" spans="1:9" x14ac:dyDescent="0.25">
      <c r="A206" s="28" t="s">
        <v>104</v>
      </c>
      <c r="B206" s="29">
        <v>45994</v>
      </c>
      <c r="C206" s="35">
        <v>4753500</v>
      </c>
      <c r="D206" s="35">
        <v>1945905</v>
      </c>
      <c r="E206" s="35">
        <v>0</v>
      </c>
      <c r="F206" s="159">
        <v>58.36</v>
      </c>
      <c r="G206" s="71">
        <v>35.479999999999997</v>
      </c>
      <c r="H206" s="72">
        <f>ROUND((F206*C206)+(G206*D206),-3)</f>
        <v>346455000</v>
      </c>
    </row>
    <row r="207" spans="1:9" x14ac:dyDescent="0.25">
      <c r="A207" s="26" t="s">
        <v>105</v>
      </c>
      <c r="B207" s="27">
        <v>46071</v>
      </c>
      <c r="C207" s="34">
        <v>0</v>
      </c>
      <c r="D207" s="34">
        <v>0</v>
      </c>
      <c r="E207" s="34">
        <v>0</v>
      </c>
      <c r="F207" s="70">
        <v>60.43</v>
      </c>
      <c r="G207" s="70">
        <v>83.76</v>
      </c>
      <c r="H207" s="73">
        <f>ROUND((F207*C207)+(G207*D207),-3)</f>
        <v>0</v>
      </c>
    </row>
    <row r="208" spans="1:9" x14ac:dyDescent="0.25">
      <c r="A208" s="28" t="s">
        <v>106</v>
      </c>
      <c r="B208" s="29">
        <v>46085</v>
      </c>
      <c r="C208" s="35">
        <f>ROUNDDOWN('Appendix A - Supply Tables'!$B$185/4,0)</f>
        <v>3472588</v>
      </c>
      <c r="D208" s="35">
        <v>0</v>
      </c>
      <c r="E208" s="35">
        <v>0</v>
      </c>
      <c r="F208" s="159">
        <v>59.1</v>
      </c>
      <c r="G208" s="219">
        <v>0</v>
      </c>
      <c r="H208" s="72">
        <f>ROUND((F208*C208)+(G208*D208),-3)</f>
        <v>205230000</v>
      </c>
    </row>
    <row r="209" spans="1:9" x14ac:dyDescent="0.25">
      <c r="A209" s="26" t="s">
        <v>105</v>
      </c>
      <c r="B209" s="27">
        <v>46162</v>
      </c>
      <c r="C209" s="34">
        <v>0</v>
      </c>
      <c r="D209" s="34">
        <v>0</v>
      </c>
      <c r="E209" s="34">
        <v>0</v>
      </c>
      <c r="F209" s="70">
        <v>65.2</v>
      </c>
      <c r="G209" s="70">
        <v>83.76</v>
      </c>
      <c r="H209" s="73">
        <f>ROUND((F209*C209)+(G209*D209),-3)</f>
        <v>0</v>
      </c>
    </row>
    <row r="210" spans="1:9" x14ac:dyDescent="0.25">
      <c r="A210" s="28" t="s">
        <v>107</v>
      </c>
      <c r="B210" s="29">
        <v>46176</v>
      </c>
      <c r="C210" s="35">
        <f>ROUNDDOWN('Appendix A - Supply Tables'!$B$185/4,0)</f>
        <v>3472588</v>
      </c>
      <c r="D210" s="35">
        <f>ROUNDDOWN('Appendix A - Supply Tables'!$B$172/2,0)</f>
        <v>1744921</v>
      </c>
      <c r="E210" s="35">
        <v>0</v>
      </c>
      <c r="F210" s="244">
        <v>63.01</v>
      </c>
      <c r="G210" s="71">
        <v>33.29</v>
      </c>
      <c r="H210" s="72">
        <f>ROUND((F210*C210)+(G210*D210),-3)</f>
        <v>276896000</v>
      </c>
    </row>
    <row r="211" spans="1:9" x14ac:dyDescent="0.25">
      <c r="A211" s="30" t="s">
        <v>89</v>
      </c>
      <c r="B211" s="31" t="s">
        <v>90</v>
      </c>
      <c r="C211" s="32">
        <f>SUM(C201:C210)</f>
        <v>16298676</v>
      </c>
      <c r="D211" s="32">
        <f t="shared" ref="D211" si="27">SUM(D201:D210)</f>
        <v>3690826</v>
      </c>
      <c r="E211" s="32">
        <f t="shared" ref="E211" si="28">SUM(E201:E210)</f>
        <v>0</v>
      </c>
      <c r="F211" s="217"/>
      <c r="G211" s="217"/>
      <c r="H211" s="33">
        <f>(SUM(H201:H210))</f>
        <v>1093633000</v>
      </c>
    </row>
    <row r="212" spans="1:9" x14ac:dyDescent="0.25">
      <c r="C212" s="11"/>
      <c r="D212" s="11"/>
      <c r="F212" s="61"/>
      <c r="G212" s="61"/>
      <c r="I212" s="56"/>
    </row>
    <row r="213" spans="1:9" x14ac:dyDescent="0.25">
      <c r="A213" s="2" t="s">
        <v>199</v>
      </c>
      <c r="B213" s="9"/>
      <c r="C213" s="183"/>
      <c r="D213" s="183"/>
      <c r="E213" s="9"/>
      <c r="F213" s="184"/>
      <c r="G213" s="184"/>
      <c r="H213" s="9"/>
    </row>
    <row r="214" spans="1:9" ht="25.5" x14ac:dyDescent="0.25">
      <c r="A214" s="23" t="s">
        <v>77</v>
      </c>
      <c r="B214" s="24" t="s">
        <v>108</v>
      </c>
      <c r="C214" s="214" t="s">
        <v>78</v>
      </c>
      <c r="D214" s="214" t="s">
        <v>79</v>
      </c>
      <c r="E214" s="24" t="s">
        <v>80</v>
      </c>
      <c r="F214" s="218" t="s">
        <v>81</v>
      </c>
      <c r="G214" s="218" t="s">
        <v>82</v>
      </c>
      <c r="H214" s="25" t="s">
        <v>83</v>
      </c>
    </row>
    <row r="215" spans="1:9" x14ac:dyDescent="0.25">
      <c r="A215" s="26" t="s">
        <v>105</v>
      </c>
      <c r="B215" s="27">
        <v>46239</v>
      </c>
      <c r="C215" s="34">
        <v>0</v>
      </c>
      <c r="D215" s="34">
        <v>0</v>
      </c>
      <c r="E215" s="34">
        <v>0</v>
      </c>
      <c r="F215" s="70">
        <v>65.2</v>
      </c>
      <c r="G215" s="70">
        <v>83.76</v>
      </c>
      <c r="H215" s="73">
        <f>ROUND((F215*C215)+(G215*D215),-3)</f>
        <v>0</v>
      </c>
    </row>
    <row r="216" spans="1:9" x14ac:dyDescent="0.25">
      <c r="A216" s="28" t="s">
        <v>109</v>
      </c>
      <c r="B216" s="29">
        <v>46267</v>
      </c>
      <c r="C216" s="35">
        <f>ROUNDUP('Appendix A - Supply Tables'!$B$185/4,0)</f>
        <v>3472589</v>
      </c>
      <c r="D216" s="35">
        <v>0</v>
      </c>
      <c r="E216" s="35">
        <v>0</v>
      </c>
      <c r="F216" s="71">
        <v>64.22</v>
      </c>
      <c r="G216" s="219">
        <v>0</v>
      </c>
      <c r="H216" s="72">
        <f>ROUND((F216*C216)+(G216*D216),-3)</f>
        <v>223010000</v>
      </c>
    </row>
    <row r="217" spans="1:9" x14ac:dyDescent="0.25">
      <c r="A217" s="26" t="s">
        <v>94</v>
      </c>
      <c r="B217" s="55" t="s">
        <v>95</v>
      </c>
      <c r="C217" s="107">
        <v>0</v>
      </c>
      <c r="D217" s="34">
        <v>0</v>
      </c>
      <c r="E217" s="34">
        <v>0</v>
      </c>
      <c r="F217" s="70">
        <v>61.83</v>
      </c>
      <c r="G217" s="220">
        <v>0</v>
      </c>
      <c r="H217" s="73">
        <f t="shared" ref="H217:H219" si="29">ROUND((F217*C217)+(G217*D217),-3)</f>
        <v>0</v>
      </c>
    </row>
    <row r="218" spans="1:9" x14ac:dyDescent="0.25">
      <c r="A218" s="28" t="s">
        <v>110</v>
      </c>
      <c r="B218" s="29">
        <v>46295</v>
      </c>
      <c r="C218" s="106">
        <v>0</v>
      </c>
      <c r="D218" s="35">
        <v>0</v>
      </c>
      <c r="E218" s="35">
        <v>0</v>
      </c>
      <c r="F218" s="71">
        <v>65.2</v>
      </c>
      <c r="G218" s="71">
        <v>83.76</v>
      </c>
      <c r="H218" s="74">
        <f t="shared" si="29"/>
        <v>0</v>
      </c>
    </row>
    <row r="219" spans="1:9" x14ac:dyDescent="0.25">
      <c r="A219" s="26" t="s">
        <v>105</v>
      </c>
      <c r="B219" s="27">
        <v>46344</v>
      </c>
      <c r="C219" s="107">
        <v>0</v>
      </c>
      <c r="D219" s="34">
        <v>0</v>
      </c>
      <c r="E219" s="34">
        <v>0</v>
      </c>
      <c r="F219" s="70">
        <v>65.2</v>
      </c>
      <c r="G219" s="70">
        <v>83.76</v>
      </c>
      <c r="H219" s="73">
        <f t="shared" si="29"/>
        <v>0</v>
      </c>
    </row>
    <row r="220" spans="1:9" x14ac:dyDescent="0.25">
      <c r="A220" s="28" t="s">
        <v>111</v>
      </c>
      <c r="B220" s="29">
        <v>46358</v>
      </c>
      <c r="C220" s="35">
        <f>ROUNDUP('Appendix A - Supply Tables'!$B$185/4,0)</f>
        <v>3472589</v>
      </c>
      <c r="D220" s="35">
        <f>ROUNDUP('Appendix A - Supply Tables'!$B$172/2,0)</f>
        <v>1744922</v>
      </c>
      <c r="E220" s="35">
        <v>0</v>
      </c>
      <c r="F220" s="71">
        <v>65.45</v>
      </c>
      <c r="G220" s="71">
        <v>34.58</v>
      </c>
      <c r="H220" s="72">
        <f>ROUND((F220*C220)+(G220*D220),-3)</f>
        <v>287620000</v>
      </c>
    </row>
    <row r="221" spans="1:9" x14ac:dyDescent="0.25">
      <c r="A221" s="26" t="s">
        <v>105</v>
      </c>
      <c r="B221" s="27">
        <v>46435</v>
      </c>
      <c r="C221" s="34">
        <v>0</v>
      </c>
      <c r="D221" s="34">
        <v>0</v>
      </c>
      <c r="E221" s="34">
        <v>0</v>
      </c>
      <c r="F221" s="192">
        <v>65.2</v>
      </c>
      <c r="G221" s="70">
        <v>83.76</v>
      </c>
      <c r="H221" s="73">
        <f>ROUND((F221*C221)+(G221*D221),-3)</f>
        <v>0</v>
      </c>
    </row>
    <row r="222" spans="1:9" x14ac:dyDescent="0.25">
      <c r="A222" s="28" t="s">
        <v>112</v>
      </c>
      <c r="B222" s="29">
        <v>46449</v>
      </c>
      <c r="C222" s="142">
        <f>ROUNDDOWN('Appendix A - Supply Tables'!$B$186/4,0)</f>
        <v>2572525</v>
      </c>
      <c r="D222" s="35">
        <v>0</v>
      </c>
      <c r="E222" s="35">
        <v>0</v>
      </c>
      <c r="F222" s="71">
        <v>66.599999999999994</v>
      </c>
      <c r="G222" s="219">
        <v>0</v>
      </c>
      <c r="H222" s="72">
        <f>ROUND((F222*C222)+(G222*D222),-3)</f>
        <v>171330000</v>
      </c>
    </row>
    <row r="223" spans="1:9" x14ac:dyDescent="0.25">
      <c r="A223" s="26" t="s">
        <v>105</v>
      </c>
      <c r="B223" s="27">
        <v>46526</v>
      </c>
      <c r="C223" s="34">
        <v>0</v>
      </c>
      <c r="D223" s="34">
        <v>0</v>
      </c>
      <c r="E223" s="34">
        <v>0</v>
      </c>
      <c r="F223" s="70">
        <v>69.89</v>
      </c>
      <c r="G223" s="70">
        <v>89.79</v>
      </c>
      <c r="H223" s="73">
        <f>ROUND((F223*C223)+(G223*D223),-3)</f>
        <v>0</v>
      </c>
    </row>
    <row r="224" spans="1:9" x14ac:dyDescent="0.25">
      <c r="A224" s="28" t="s">
        <v>113</v>
      </c>
      <c r="B224" s="29">
        <v>46540</v>
      </c>
      <c r="C224" s="142">
        <f>ROUNDDOWN('Appendix A - Supply Tables'!$B$186/4,0)</f>
        <v>2572525</v>
      </c>
      <c r="D224" s="35">
        <f>('Appendix A - Supply Tables'!$B$173/2)</f>
        <v>1505889</v>
      </c>
      <c r="E224" s="35">
        <v>0</v>
      </c>
      <c r="F224" s="71">
        <v>67.77</v>
      </c>
      <c r="G224" s="71">
        <v>35.799999999999997</v>
      </c>
      <c r="H224" s="72">
        <f>ROUND((F224*C224)+(G224*D224),-3)</f>
        <v>228251000</v>
      </c>
    </row>
    <row r="225" spans="1:8" x14ac:dyDescent="0.25">
      <c r="A225" s="30" t="s">
        <v>89</v>
      </c>
      <c r="B225" s="31" t="s">
        <v>90</v>
      </c>
      <c r="C225" s="32">
        <f>SUM(C215:C224)</f>
        <v>12090228</v>
      </c>
      <c r="D225" s="32">
        <f t="shared" ref="D225" si="30">SUM(D215:D224)</f>
        <v>3250811</v>
      </c>
      <c r="E225" s="32">
        <f t="shared" ref="E225" si="31">SUM(E215:E224)</f>
        <v>0</v>
      </c>
      <c r="F225" s="217"/>
      <c r="G225" s="217"/>
      <c r="H225" s="33">
        <f>(SUM(H215:H224))</f>
        <v>910211000</v>
      </c>
    </row>
    <row r="226" spans="1:8" x14ac:dyDescent="0.25">
      <c r="A226" s="9"/>
      <c r="B226" s="9"/>
      <c r="C226" s="183"/>
      <c r="D226" s="183"/>
      <c r="F226" s="184"/>
      <c r="G226" s="184"/>
      <c r="H226" s="9"/>
    </row>
    <row r="227" spans="1:8" x14ac:dyDescent="0.25">
      <c r="A227" s="2" t="s">
        <v>200</v>
      </c>
      <c r="C227" s="11"/>
      <c r="D227" s="11"/>
      <c r="F227" s="61"/>
      <c r="G227" s="61"/>
    </row>
    <row r="228" spans="1:8" ht="25.5" x14ac:dyDescent="0.25">
      <c r="A228" s="23" t="s">
        <v>77</v>
      </c>
      <c r="B228" s="24" t="s">
        <v>114</v>
      </c>
      <c r="C228" s="214" t="s">
        <v>78</v>
      </c>
      <c r="D228" s="214" t="s">
        <v>79</v>
      </c>
      <c r="E228" s="24" t="s">
        <v>80</v>
      </c>
      <c r="F228" s="218" t="s">
        <v>81</v>
      </c>
      <c r="G228" s="218" t="s">
        <v>82</v>
      </c>
      <c r="H228" s="25" t="s">
        <v>83</v>
      </c>
    </row>
    <row r="229" spans="1:8" x14ac:dyDescent="0.25">
      <c r="A229" s="26" t="s">
        <v>86</v>
      </c>
      <c r="B229" s="27">
        <v>46603</v>
      </c>
      <c r="C229" s="34"/>
      <c r="D229" s="34"/>
      <c r="E229" s="34"/>
      <c r="F229" s="70">
        <v>69.89</v>
      </c>
      <c r="G229" s="70">
        <v>89.79</v>
      </c>
      <c r="H229" s="73">
        <f>ROUND((F229*C229)+(G229*D229),-3)</f>
        <v>0</v>
      </c>
    </row>
    <row r="230" spans="1:8" x14ac:dyDescent="0.25">
      <c r="A230" s="28" t="s">
        <v>115</v>
      </c>
      <c r="B230" s="29">
        <v>46631</v>
      </c>
      <c r="C230" s="142">
        <f>ROUNDUP('Appendix A - Supply Tables'!$B$186/4,0)</f>
        <v>2572526</v>
      </c>
      <c r="D230" s="35"/>
      <c r="E230" s="35"/>
      <c r="F230" s="71">
        <v>68.959999999999994</v>
      </c>
      <c r="G230" s="219">
        <v>0</v>
      </c>
      <c r="H230" s="72">
        <f>ROUND((F230*C230)+(G230*D230),-3)</f>
        <v>177401000</v>
      </c>
    </row>
    <row r="231" spans="1:8" x14ac:dyDescent="0.25">
      <c r="A231" s="26" t="s">
        <v>116</v>
      </c>
      <c r="B231" s="55">
        <v>46659</v>
      </c>
      <c r="C231" s="34"/>
      <c r="D231" s="34"/>
      <c r="E231" s="34"/>
      <c r="F231" s="70">
        <v>69.89</v>
      </c>
      <c r="G231" s="70">
        <v>89.79</v>
      </c>
      <c r="H231" s="73">
        <f t="shared" ref="H231:H233" si="32">ROUND((F231*C231)+(G231*D231),-3)</f>
        <v>0</v>
      </c>
    </row>
    <row r="232" spans="1:8" x14ac:dyDescent="0.25">
      <c r="A232" s="160" t="s">
        <v>117</v>
      </c>
      <c r="B232" s="29">
        <v>46687</v>
      </c>
      <c r="C232" s="35"/>
      <c r="D232" s="35"/>
      <c r="E232" s="35"/>
      <c r="F232" s="71">
        <v>109.91</v>
      </c>
      <c r="G232" s="219">
        <v>0</v>
      </c>
      <c r="H232" s="74">
        <f t="shared" si="32"/>
        <v>0</v>
      </c>
    </row>
    <row r="233" spans="1:8" x14ac:dyDescent="0.25">
      <c r="A233" s="26" t="s">
        <v>105</v>
      </c>
      <c r="B233" s="27">
        <v>46701</v>
      </c>
      <c r="C233" s="34"/>
      <c r="D233" s="34"/>
      <c r="E233" s="34"/>
      <c r="F233" s="70">
        <v>69.89</v>
      </c>
      <c r="G233" s="70">
        <v>89.79</v>
      </c>
      <c r="H233" s="73">
        <f t="shared" si="32"/>
        <v>0</v>
      </c>
    </row>
    <row r="234" spans="1:8" x14ac:dyDescent="0.25">
      <c r="A234" s="28" t="s">
        <v>118</v>
      </c>
      <c r="B234" s="29">
        <v>46722</v>
      </c>
      <c r="C234" s="142">
        <f>ROUNDUP('Appendix A - Supply Tables'!$B$186/4,0)</f>
        <v>2572526</v>
      </c>
      <c r="D234" s="35">
        <f>ROUNDDOWN('Appendix A - Supply Tables'!$B$173/2,0)</f>
        <v>1505889</v>
      </c>
      <c r="E234" s="35"/>
      <c r="F234" s="71">
        <v>70.17</v>
      </c>
      <c r="G234" s="71">
        <v>37.07</v>
      </c>
      <c r="H234" s="72">
        <f>ROUND((F234*C234)+(G234*D234),-3)</f>
        <v>236337000</v>
      </c>
    </row>
    <row r="235" spans="1:8" x14ac:dyDescent="0.25">
      <c r="A235" s="26" t="s">
        <v>86</v>
      </c>
      <c r="B235" s="27">
        <v>46799</v>
      </c>
      <c r="C235" s="34"/>
      <c r="D235" s="34"/>
      <c r="E235" s="34"/>
      <c r="F235" s="70">
        <v>69.89</v>
      </c>
      <c r="G235" s="70">
        <v>89.79</v>
      </c>
      <c r="H235" s="73">
        <f>ROUND((F235*C235)+(G235*D235),-3)</f>
        <v>0</v>
      </c>
    </row>
    <row r="236" spans="1:8" x14ac:dyDescent="0.25">
      <c r="A236" s="28" t="s">
        <v>119</v>
      </c>
      <c r="B236" s="29">
        <v>46813</v>
      </c>
      <c r="C236" s="35">
        <f>ROUNDDOWN('Appendix A - Supply Tables'!$B$187/4,0)</f>
        <v>1581193</v>
      </c>
      <c r="D236" s="35"/>
      <c r="E236" s="35"/>
      <c r="F236" s="71">
        <v>71.37</v>
      </c>
      <c r="G236" s="219">
        <v>0</v>
      </c>
      <c r="H236" s="72">
        <f>ROUND((F236*C236)+(G236*D236),-3)</f>
        <v>112850000</v>
      </c>
    </row>
    <row r="237" spans="1:8" x14ac:dyDescent="0.25">
      <c r="A237" s="26" t="s">
        <v>105</v>
      </c>
      <c r="B237" s="27">
        <v>46897</v>
      </c>
      <c r="C237" s="34"/>
      <c r="D237" s="34"/>
      <c r="E237" s="34"/>
      <c r="F237" s="70">
        <v>74.78</v>
      </c>
      <c r="G237" s="70">
        <v>96.08</v>
      </c>
      <c r="H237" s="73">
        <f>ROUND((F237*C237)+(G237*D237),-3)</f>
        <v>0</v>
      </c>
    </row>
    <row r="238" spans="1:8" x14ac:dyDescent="0.25">
      <c r="A238" s="28" t="s">
        <v>120</v>
      </c>
      <c r="B238" s="29">
        <v>46911</v>
      </c>
      <c r="C238" s="35">
        <f>ROUNDDOWN('Appendix A - Supply Tables'!$B$187/4,0)</f>
        <v>1581193</v>
      </c>
      <c r="D238" s="35">
        <f>ROUNDDOWN('Appendix A - Supply Tables'!$B$174/2,0)</f>
        <v>1484685</v>
      </c>
      <c r="E238" s="35"/>
      <c r="F238" s="71">
        <v>72.59</v>
      </c>
      <c r="G238" s="71">
        <v>38.35</v>
      </c>
      <c r="H238" s="72">
        <f>ROUND((F238*C238)+(G238*D238),-3)</f>
        <v>171716000</v>
      </c>
    </row>
    <row r="239" spans="1:8" x14ac:dyDescent="0.25">
      <c r="A239" s="30" t="s">
        <v>89</v>
      </c>
      <c r="B239" s="31" t="s">
        <v>90</v>
      </c>
      <c r="C239" s="32">
        <f>SUM(C229:C238)</f>
        <v>8307438</v>
      </c>
      <c r="D239" s="32">
        <f t="shared" ref="D239" si="33">SUM(D229:D238)</f>
        <v>2990574</v>
      </c>
      <c r="E239" s="32">
        <f t="shared" ref="E239" si="34">SUM(E229:E238)</f>
        <v>0</v>
      </c>
      <c r="F239" s="217"/>
      <c r="G239" s="217"/>
      <c r="H239" s="33">
        <f>(SUM(H229:H238))</f>
        <v>698304000</v>
      </c>
    </row>
    <row r="241" spans="1:8" x14ac:dyDescent="0.25">
      <c r="A241" s="2" t="s">
        <v>201</v>
      </c>
      <c r="C241" s="11"/>
      <c r="D241" s="11"/>
      <c r="F241" s="61"/>
      <c r="G241" s="61"/>
    </row>
    <row r="242" spans="1:8" ht="25.5" x14ac:dyDescent="0.25">
      <c r="A242" s="23" t="s">
        <v>77</v>
      </c>
      <c r="B242" s="24" t="s">
        <v>121</v>
      </c>
      <c r="C242" s="214" t="s">
        <v>78</v>
      </c>
      <c r="D242" s="214" t="s">
        <v>79</v>
      </c>
      <c r="E242" s="24" t="s">
        <v>80</v>
      </c>
      <c r="F242" s="218" t="s">
        <v>81</v>
      </c>
      <c r="G242" s="218" t="s">
        <v>82</v>
      </c>
      <c r="H242" s="25" t="s">
        <v>83</v>
      </c>
    </row>
    <row r="243" spans="1:8" x14ac:dyDescent="0.25">
      <c r="A243" s="26" t="s">
        <v>86</v>
      </c>
      <c r="B243" s="27">
        <v>46974</v>
      </c>
      <c r="C243" s="34"/>
      <c r="D243" s="34"/>
      <c r="E243" s="34"/>
      <c r="F243" s="70">
        <v>74.78</v>
      </c>
      <c r="G243" s="70">
        <v>96.08</v>
      </c>
      <c r="H243" s="73">
        <f>ROUND((F243*C243)+(G243*D243),-3)</f>
        <v>0</v>
      </c>
    </row>
    <row r="244" spans="1:8" x14ac:dyDescent="0.25">
      <c r="A244" s="28" t="s">
        <v>122</v>
      </c>
      <c r="B244" s="29">
        <v>47002</v>
      </c>
      <c r="C244" s="35">
        <f>ROUNDUP('Appendix A - Supply Tables'!$B$187/4,0)</f>
        <v>1581194</v>
      </c>
      <c r="D244" s="35">
        <v>0</v>
      </c>
      <c r="E244" s="35"/>
      <c r="F244" s="71">
        <v>73.83</v>
      </c>
      <c r="G244" s="219">
        <v>0</v>
      </c>
      <c r="H244" s="72">
        <f>ROUND((F244*C244)+(G244*D244),-3)</f>
        <v>116740000</v>
      </c>
    </row>
    <row r="245" spans="1:8" x14ac:dyDescent="0.25">
      <c r="A245" s="189" t="s">
        <v>123</v>
      </c>
      <c r="B245" s="190">
        <v>47051</v>
      </c>
      <c r="C245" s="34"/>
      <c r="D245" s="34"/>
      <c r="E245" s="191"/>
      <c r="F245" s="192">
        <v>74.78</v>
      </c>
      <c r="G245" s="192">
        <v>96.08</v>
      </c>
      <c r="H245" s="193">
        <f t="shared" ref="H245:H246" si="35">ROUND((F245*C245)+(G245*D245),-3)</f>
        <v>0</v>
      </c>
    </row>
    <row r="246" spans="1:8" x14ac:dyDescent="0.25">
      <c r="A246" s="195" t="s">
        <v>105</v>
      </c>
      <c r="B246" s="196">
        <v>47072</v>
      </c>
      <c r="C246" s="35"/>
      <c r="D246" s="35"/>
      <c r="E246" s="198"/>
      <c r="F246" s="199">
        <v>74.78</v>
      </c>
      <c r="G246" s="199">
        <v>96.08</v>
      </c>
      <c r="H246" s="200">
        <f t="shared" si="35"/>
        <v>0</v>
      </c>
    </row>
    <row r="247" spans="1:8" x14ac:dyDescent="0.25">
      <c r="A247" s="189" t="s">
        <v>124</v>
      </c>
      <c r="B247" s="190">
        <v>47093</v>
      </c>
      <c r="C247" s="34">
        <f>ROUNDUP('Appendix A - Supply Tables'!$B$187/4,0)</f>
        <v>1581194</v>
      </c>
      <c r="D247" s="34">
        <f>ROUNDUP('Appendix A - Supply Tables'!$B$174/2,0)</f>
        <v>1484686</v>
      </c>
      <c r="E247" s="191"/>
      <c r="F247" s="192">
        <v>75.09</v>
      </c>
      <c r="G247" s="192">
        <v>39.67</v>
      </c>
      <c r="H247" s="194">
        <f>ROUND((F247*C247)+(G247*D247),-3)</f>
        <v>177629000</v>
      </c>
    </row>
    <row r="248" spans="1:8" x14ac:dyDescent="0.25">
      <c r="A248" s="195" t="s">
        <v>105</v>
      </c>
      <c r="B248" s="197">
        <v>47170</v>
      </c>
      <c r="C248" s="35"/>
      <c r="D248" s="35"/>
      <c r="E248" s="198"/>
      <c r="F248" s="199">
        <v>74.78</v>
      </c>
      <c r="G248" s="199">
        <v>96.08</v>
      </c>
      <c r="H248" s="200">
        <f>ROUND((F248*C248)+(G248*D248),-3)</f>
        <v>0</v>
      </c>
    </row>
    <row r="249" spans="1:8" x14ac:dyDescent="0.25">
      <c r="A249" s="189" t="s">
        <v>125</v>
      </c>
      <c r="B249" s="190">
        <v>47184</v>
      </c>
      <c r="C249" s="34">
        <f>ROUNDDOWN('Appendix A - Supply Tables'!$B$188/4,0)</f>
        <v>855528</v>
      </c>
      <c r="D249" s="34"/>
      <c r="E249" s="191"/>
      <c r="F249" s="192">
        <v>76.349999999999994</v>
      </c>
      <c r="G249" s="192">
        <v>40.340000000000003</v>
      </c>
      <c r="H249" s="194">
        <f>ROUND((F249*C249)+(G249*D249),-3)</f>
        <v>65320000</v>
      </c>
    </row>
    <row r="250" spans="1:8" ht="14.25" customHeight="1" x14ac:dyDescent="0.25">
      <c r="A250" s="195" t="s">
        <v>105</v>
      </c>
      <c r="B250" s="197">
        <v>47261</v>
      </c>
      <c r="C250" s="35"/>
      <c r="D250" s="35"/>
      <c r="E250" s="198"/>
      <c r="F250" s="199">
        <v>79.94</v>
      </c>
      <c r="G250" s="199">
        <v>102.71</v>
      </c>
      <c r="H250" s="200">
        <f>ROUND((F250*C250)+(G250*D250),-3)</f>
        <v>0</v>
      </c>
    </row>
    <row r="251" spans="1:8" x14ac:dyDescent="0.25">
      <c r="A251" s="189" t="s">
        <v>126</v>
      </c>
      <c r="B251" s="190">
        <v>47275</v>
      </c>
      <c r="C251" s="34">
        <f>ROUNDDOWN('Appendix A - Supply Tables'!$B$188/4,0)</f>
        <v>855528</v>
      </c>
      <c r="D251" s="34">
        <f>'Appendix A - Supply Tables'!$B$175/2</f>
        <v>1422482</v>
      </c>
      <c r="E251" s="191"/>
      <c r="F251" s="192">
        <v>77.63</v>
      </c>
      <c r="G251" s="192">
        <v>41.02</v>
      </c>
      <c r="H251" s="194">
        <f>ROUND((F251*C251)+(G251*D251),-3)</f>
        <v>124765000</v>
      </c>
    </row>
    <row r="252" spans="1:8" x14ac:dyDescent="0.25">
      <c r="A252" s="30" t="s">
        <v>89</v>
      </c>
      <c r="B252" s="31"/>
      <c r="C252" s="32">
        <f>SUM(C243:C251)</f>
        <v>4873444</v>
      </c>
      <c r="D252" s="32">
        <f>SUM(D243:D251)</f>
        <v>2907168</v>
      </c>
      <c r="E252" s="32">
        <f>SUM(E243:E251)</f>
        <v>0</v>
      </c>
      <c r="F252" s="217"/>
      <c r="G252" s="217"/>
      <c r="H252" s="33">
        <f>(SUM(H243:H251))</f>
        <v>484454000</v>
      </c>
    </row>
    <row r="253" spans="1:8" x14ac:dyDescent="0.25">
      <c r="F253" s="61"/>
      <c r="G253" s="61"/>
    </row>
    <row r="254" spans="1:8" x14ac:dyDescent="0.25">
      <c r="A254" s="2" t="s">
        <v>202</v>
      </c>
      <c r="F254" s="61"/>
      <c r="G254" s="61"/>
    </row>
    <row r="255" spans="1:8" ht="25.5" x14ac:dyDescent="0.25">
      <c r="A255" s="23" t="s">
        <v>77</v>
      </c>
      <c r="B255" s="24" t="s">
        <v>138</v>
      </c>
      <c r="C255" s="24" t="s">
        <v>78</v>
      </c>
      <c r="D255" s="24" t="s">
        <v>79</v>
      </c>
      <c r="E255" s="24" t="s">
        <v>80</v>
      </c>
      <c r="F255" s="218" t="s">
        <v>81</v>
      </c>
      <c r="G255" s="218" t="s">
        <v>82</v>
      </c>
      <c r="H255" s="25" t="s">
        <v>83</v>
      </c>
    </row>
    <row r="256" spans="1:8" x14ac:dyDescent="0.25">
      <c r="A256" s="26" t="s">
        <v>86</v>
      </c>
      <c r="B256" s="27">
        <v>47352</v>
      </c>
      <c r="C256" s="208"/>
      <c r="D256" s="208"/>
      <c r="E256" s="212"/>
      <c r="F256" s="70">
        <v>79.94</v>
      </c>
      <c r="G256" s="70">
        <f>G250</f>
        <v>102.71</v>
      </c>
      <c r="H256" s="73">
        <f>ROUND((F256*C256)+(G256*D256),-3)</f>
        <v>0</v>
      </c>
    </row>
    <row r="257" spans="1:8" x14ac:dyDescent="0.25">
      <c r="A257" s="28" t="s">
        <v>139</v>
      </c>
      <c r="B257" s="29">
        <v>47366</v>
      </c>
      <c r="C257" s="35">
        <f>ROUNDUP('Appendix A - Supply Tables'!$B$188/4,0)</f>
        <v>855529</v>
      </c>
      <c r="D257" s="35">
        <v>0</v>
      </c>
      <c r="E257" s="213"/>
      <c r="F257" s="71">
        <v>77.650000000000006</v>
      </c>
      <c r="G257" s="219">
        <v>0</v>
      </c>
      <c r="H257" s="72">
        <f>ROUND((F257*C257)+(G257*D257),-3)</f>
        <v>66432000</v>
      </c>
    </row>
    <row r="258" spans="1:8" x14ac:dyDescent="0.25">
      <c r="A258" s="189" t="s">
        <v>140</v>
      </c>
      <c r="B258" s="190">
        <v>47387</v>
      </c>
      <c r="C258" s="242"/>
      <c r="D258" s="242"/>
      <c r="E258" s="215"/>
      <c r="F258" s="192">
        <v>79.94</v>
      </c>
      <c r="G258" s="192">
        <v>0</v>
      </c>
      <c r="H258" s="193">
        <f t="shared" ref="H258:H259" si="36">ROUND((F258*C258)+(G258*D258),-3)</f>
        <v>0</v>
      </c>
    </row>
    <row r="259" spans="1:8" x14ac:dyDescent="0.25">
      <c r="A259" s="195" t="s">
        <v>86</v>
      </c>
      <c r="B259" s="196">
        <v>47443</v>
      </c>
      <c r="C259" s="198"/>
      <c r="D259" s="198"/>
      <c r="E259" s="216"/>
      <c r="F259" s="199">
        <v>79.94</v>
      </c>
      <c r="G259" s="199">
        <v>0</v>
      </c>
      <c r="H259" s="200">
        <f t="shared" si="36"/>
        <v>0</v>
      </c>
    </row>
    <row r="260" spans="1:8" x14ac:dyDescent="0.25">
      <c r="A260" s="189" t="s">
        <v>141</v>
      </c>
      <c r="B260" s="190">
        <v>47457</v>
      </c>
      <c r="C260" s="242">
        <f>ROUNDUP('Appendix A - Supply Tables'!$B$188/4,0)</f>
        <v>855529</v>
      </c>
      <c r="D260" s="242">
        <f>'Appendix A - Supply Tables'!$B$175/2</f>
        <v>1422482</v>
      </c>
      <c r="E260" s="215"/>
      <c r="F260" s="192">
        <v>78.97</v>
      </c>
      <c r="G260" s="192">
        <v>102.71</v>
      </c>
      <c r="H260" s="194">
        <f>ROUND((F260*C260)+(G260*D260),-3)</f>
        <v>213664000</v>
      </c>
    </row>
    <row r="261" spans="1:8" x14ac:dyDescent="0.25">
      <c r="A261" s="195" t="s">
        <v>105</v>
      </c>
      <c r="B261" s="197">
        <v>47534</v>
      </c>
      <c r="C261" s="243"/>
      <c r="D261" s="243"/>
      <c r="E261" s="216"/>
      <c r="F261" s="199">
        <v>79.94</v>
      </c>
      <c r="G261" s="199">
        <v>102.71</v>
      </c>
      <c r="H261" s="200">
        <f>ROUND((F261*C261)+(G261*D261),-3)</f>
        <v>0</v>
      </c>
    </row>
    <row r="262" spans="1:8" x14ac:dyDescent="0.25">
      <c r="A262" s="189" t="s">
        <v>142</v>
      </c>
      <c r="B262" s="190">
        <v>47549</v>
      </c>
      <c r="C262" s="34">
        <f>ROUNDUP('Appendix A - Supply Tables'!$B$189/4,0)</f>
        <v>806060</v>
      </c>
      <c r="D262" s="242">
        <v>0</v>
      </c>
      <c r="E262" s="215"/>
      <c r="F262" s="192">
        <v>80.3</v>
      </c>
      <c r="G262" s="192">
        <v>43.14</v>
      </c>
      <c r="H262" s="194">
        <f>ROUND((F262*C262)+(G262*D262),-3)</f>
        <v>64727000</v>
      </c>
    </row>
    <row r="263" spans="1:8" x14ac:dyDescent="0.25">
      <c r="A263" s="195" t="s">
        <v>105</v>
      </c>
      <c r="B263" s="197">
        <v>47626</v>
      </c>
      <c r="C263" s="198"/>
      <c r="D263" s="198"/>
      <c r="E263" s="216"/>
      <c r="F263" s="199">
        <v>85.46</v>
      </c>
      <c r="G263" s="199">
        <v>102.71</v>
      </c>
      <c r="H263" s="200">
        <f>ROUND((F263*C263)+(G263*D263),-3)</f>
        <v>0</v>
      </c>
    </row>
    <row r="264" spans="1:8" x14ac:dyDescent="0.25">
      <c r="A264" s="189" t="s">
        <v>143</v>
      </c>
      <c r="B264" s="190">
        <v>47640</v>
      </c>
      <c r="C264" s="34">
        <f>ROUNDDOWN('Appendix A - Supply Tables'!$B$189/4,0)</f>
        <v>806059</v>
      </c>
      <c r="D264" s="34">
        <f>ROUNDDOWN('Appendix A - Supply Tables'!$B$176/2,0)</f>
        <v>1360278</v>
      </c>
      <c r="E264" s="215"/>
      <c r="F264" s="192">
        <v>81.650000000000006</v>
      </c>
      <c r="G264" s="192">
        <v>43.87</v>
      </c>
      <c r="H264" s="194">
        <f>ROUND((F264*C264)+(G264*D264),-3)</f>
        <v>125490000</v>
      </c>
    </row>
    <row r="265" spans="1:8" x14ac:dyDescent="0.25">
      <c r="A265" s="30" t="s">
        <v>89</v>
      </c>
      <c r="B265" s="31"/>
      <c r="C265" s="32">
        <f>SUM(C256:C264)</f>
        <v>3323177</v>
      </c>
      <c r="D265" s="32">
        <f t="shared" ref="D265:E265" si="37">SUM(D256:D264)</f>
        <v>2782760</v>
      </c>
      <c r="E265" s="32">
        <f t="shared" si="37"/>
        <v>0</v>
      </c>
      <c r="F265" s="217"/>
      <c r="G265" s="217"/>
      <c r="H265" s="33">
        <f>(SUM(H256:H264))</f>
        <v>470313000</v>
      </c>
    </row>
  </sheetData>
  <sheetProtection algorithmName="SHA-512" hashValue="vbhWCP10whphdmhoC3OFqfqGV7c8TyEcRlPplI4KFbsCiyRTtKhZYX6+bWrip4TnYNZ67HTsv7HcmZj3sxusWA==" saltValue="4ROAmkPIZv255WxusGaOYQ==" spinCount="100000" sheet="1" objects="1" scenarios="1"/>
  <mergeCells count="6">
    <mergeCell ref="B11:I11"/>
    <mergeCell ref="A3:H3"/>
    <mergeCell ref="A4:H4"/>
    <mergeCell ref="A6:H6"/>
    <mergeCell ref="B8:I8"/>
    <mergeCell ref="B9:I9"/>
  </mergeCells>
  <pageMargins left="0.7" right="0.7" top="0.75" bottom="0.75" header="0.3" footer="0.3"/>
  <pageSetup orientation="landscape" r:id="rId1"/>
  <ignoredErrors>
    <ignoredError sqref="H60 H62 H64 H66 H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0EF1-7111-4C64-9980-14F6C1556EAD}">
  <sheetPr>
    <tabColor theme="1"/>
  </sheetPr>
  <dimension ref="A1:M77"/>
  <sheetViews>
    <sheetView showGridLines="0" zoomScale="85" zoomScaleNormal="85" workbookViewId="0">
      <selection activeCell="F29" activeCellId="2" sqref="F27 F28 F29"/>
    </sheetView>
  </sheetViews>
  <sheetFormatPr defaultRowHeight="15" x14ac:dyDescent="0.25"/>
  <cols>
    <col min="1" max="1" width="12.140625" customWidth="1"/>
    <col min="2" max="2" width="14" bestFit="1" customWidth="1"/>
    <col min="3" max="3" width="17.28515625" customWidth="1"/>
    <col min="4" max="4" width="16.85546875" customWidth="1"/>
    <col min="5" max="5" width="14.5703125" customWidth="1"/>
    <col min="6" max="6" width="18.28515625" bestFit="1" customWidth="1"/>
    <col min="7" max="7" width="17.42578125" bestFit="1" customWidth="1"/>
    <col min="8" max="8" width="20.28515625" customWidth="1"/>
    <col min="9" max="9" width="12" bestFit="1" customWidth="1"/>
    <col min="10" max="10" width="23.28515625" bestFit="1" customWidth="1"/>
    <col min="11" max="11" width="30.28515625" bestFit="1" customWidth="1"/>
    <col min="12" max="12" width="21" bestFit="1" customWidth="1"/>
    <col min="13" max="13" width="23.85546875" bestFit="1" customWidth="1"/>
  </cols>
  <sheetData>
    <row r="1" spans="1:13" ht="21" x14ac:dyDescent="0.35">
      <c r="A1" s="1" t="s">
        <v>131</v>
      </c>
    </row>
    <row r="2" spans="1:13" x14ac:dyDescent="0.25">
      <c r="A2" s="65">
        <v>45835</v>
      </c>
      <c r="B2" s="108" t="s">
        <v>148</v>
      </c>
      <c r="F2" s="45"/>
    </row>
    <row r="3" spans="1:13" x14ac:dyDescent="0.25">
      <c r="A3" s="250" t="s">
        <v>157</v>
      </c>
      <c r="B3" s="250"/>
      <c r="C3" s="250"/>
      <c r="D3" s="250"/>
      <c r="E3" s="250"/>
      <c r="F3" s="250"/>
      <c r="G3" s="250"/>
      <c r="H3" s="250"/>
    </row>
    <row r="4" spans="1:13" x14ac:dyDescent="0.25">
      <c r="A4" s="170"/>
      <c r="B4" s="170"/>
      <c r="C4" s="170"/>
      <c r="D4" s="170"/>
      <c r="E4" s="170"/>
      <c r="F4" s="170"/>
      <c r="G4" s="170"/>
      <c r="H4" s="170"/>
    </row>
    <row r="5" spans="1:13" x14ac:dyDescent="0.25">
      <c r="A5" s="3" t="s">
        <v>134</v>
      </c>
      <c r="D5" s="170"/>
      <c r="E5" s="170"/>
      <c r="F5" s="170"/>
      <c r="G5" s="170"/>
      <c r="H5" s="170"/>
      <c r="J5" s="229" t="s">
        <v>183</v>
      </c>
      <c r="K5" s="4"/>
    </row>
    <row r="6" spans="1:13" ht="25.5" x14ac:dyDescent="0.25">
      <c r="A6" s="23" t="s">
        <v>77</v>
      </c>
      <c r="B6" s="24" t="s">
        <v>135</v>
      </c>
      <c r="C6" s="24" t="s">
        <v>133</v>
      </c>
      <c r="D6" s="24" t="s">
        <v>79</v>
      </c>
      <c r="E6" s="24" t="s">
        <v>80</v>
      </c>
      <c r="F6" s="24" t="s">
        <v>81</v>
      </c>
      <c r="G6" s="24" t="s">
        <v>82</v>
      </c>
      <c r="H6" s="25" t="s">
        <v>83</v>
      </c>
      <c r="J6" s="226" t="s">
        <v>22</v>
      </c>
      <c r="K6" s="226" t="s">
        <v>173</v>
      </c>
      <c r="L6" s="226" t="s">
        <v>174</v>
      </c>
      <c r="M6" s="226" t="s">
        <v>175</v>
      </c>
    </row>
    <row r="7" spans="1:13" x14ac:dyDescent="0.25">
      <c r="A7" s="36" t="s">
        <v>136</v>
      </c>
      <c r="B7" s="37">
        <v>44985</v>
      </c>
      <c r="C7" s="38">
        <v>6185222</v>
      </c>
      <c r="D7" s="38"/>
      <c r="E7" s="38"/>
      <c r="F7" s="68">
        <v>48.5</v>
      </c>
      <c r="G7" s="38">
        <v>0</v>
      </c>
      <c r="H7" s="99">
        <f>C7*F7</f>
        <v>299983267</v>
      </c>
      <c r="J7" t="s">
        <v>176</v>
      </c>
      <c r="K7" s="227">
        <v>1038620138</v>
      </c>
      <c r="L7" s="227">
        <v>1038620098</v>
      </c>
      <c r="M7" s="227">
        <v>1038620138</v>
      </c>
    </row>
    <row r="8" spans="1:13" x14ac:dyDescent="0.25">
      <c r="A8" s="39" t="s">
        <v>137</v>
      </c>
      <c r="B8" s="40">
        <v>45077</v>
      </c>
      <c r="C8" s="41">
        <v>8585000</v>
      </c>
      <c r="D8" s="41">
        <v>2450000</v>
      </c>
      <c r="E8" s="41"/>
      <c r="F8" s="69">
        <v>56.01</v>
      </c>
      <c r="G8" s="69">
        <v>31.12</v>
      </c>
      <c r="H8" s="98">
        <f>(C8*F8)+D8*G8</f>
        <v>557089850</v>
      </c>
      <c r="J8" t="s">
        <v>177</v>
      </c>
      <c r="K8" s="227">
        <v>1036967000</v>
      </c>
      <c r="L8" s="227">
        <v>643565000</v>
      </c>
      <c r="M8" s="227">
        <v>1093633000</v>
      </c>
    </row>
    <row r="9" spans="1:13" x14ac:dyDescent="0.25">
      <c r="A9" s="42" t="s">
        <v>89</v>
      </c>
      <c r="B9" s="43" t="s">
        <v>90</v>
      </c>
      <c r="C9" s="44">
        <f>SUM(C7:C8)</f>
        <v>14770222</v>
      </c>
      <c r="D9" s="44">
        <f>SUM(D7:D8)</f>
        <v>2450000</v>
      </c>
      <c r="E9" s="44">
        <f>SUM(E6:E8)</f>
        <v>0</v>
      </c>
      <c r="F9" s="66"/>
      <c r="G9" s="51" t="s">
        <v>90</v>
      </c>
      <c r="H9" s="100">
        <f>(SUM(H7:H8))</f>
        <v>857073117</v>
      </c>
      <c r="J9" t="s">
        <v>178</v>
      </c>
      <c r="K9" s="227">
        <v>707778000</v>
      </c>
      <c r="L9" s="227">
        <v>530376000</v>
      </c>
      <c r="M9" s="227">
        <v>910211000</v>
      </c>
    </row>
    <row r="10" spans="1:13" x14ac:dyDescent="0.25">
      <c r="A10" s="236"/>
      <c r="B10" s="236"/>
      <c r="C10" s="237"/>
      <c r="D10" s="237"/>
      <c r="E10" s="237"/>
      <c r="F10" s="239"/>
      <c r="G10" s="240"/>
      <c r="H10" s="238"/>
      <c r="J10" t="s">
        <v>179</v>
      </c>
      <c r="K10" s="227">
        <v>548276000</v>
      </c>
      <c r="L10" s="227">
        <v>417153000</v>
      </c>
      <c r="M10" s="227">
        <v>698304000</v>
      </c>
    </row>
    <row r="11" spans="1:13" x14ac:dyDescent="0.25">
      <c r="A11" s="170"/>
      <c r="B11" s="170"/>
      <c r="C11" s="170"/>
      <c r="D11" s="170"/>
      <c r="E11" s="170"/>
      <c r="F11" s="170"/>
      <c r="G11" s="170"/>
      <c r="H11" s="170"/>
      <c r="J11" t="s">
        <v>180</v>
      </c>
      <c r="K11" s="227">
        <v>388589000</v>
      </c>
      <c r="L11" s="227">
        <v>305441000</v>
      </c>
      <c r="M11" s="227">
        <v>484454000</v>
      </c>
    </row>
    <row r="12" spans="1:13" x14ac:dyDescent="0.25">
      <c r="A12" s="3" t="s">
        <v>132</v>
      </c>
      <c r="D12" s="170"/>
      <c r="E12" s="170"/>
      <c r="F12" s="170"/>
      <c r="G12" s="170"/>
      <c r="H12" s="170"/>
      <c r="I12" s="5"/>
      <c r="J12" t="s">
        <v>181</v>
      </c>
      <c r="K12" s="227">
        <v>317493000</v>
      </c>
      <c r="L12" s="227">
        <v>255902000</v>
      </c>
      <c r="M12" s="227">
        <v>470313000</v>
      </c>
    </row>
    <row r="13" spans="1:13" ht="25.5" x14ac:dyDescent="0.25">
      <c r="A13" s="23" t="s">
        <v>77</v>
      </c>
      <c r="B13" s="24" t="s">
        <v>128</v>
      </c>
      <c r="C13" s="24" t="s">
        <v>133</v>
      </c>
      <c r="D13" s="24" t="s">
        <v>79</v>
      </c>
      <c r="E13" s="24" t="s">
        <v>80</v>
      </c>
      <c r="F13" s="24" t="s">
        <v>81</v>
      </c>
      <c r="G13" s="24" t="s">
        <v>82</v>
      </c>
      <c r="H13" s="25" t="s">
        <v>83</v>
      </c>
      <c r="I13" s="56"/>
      <c r="J13" s="3" t="s">
        <v>182</v>
      </c>
      <c r="K13" s="228">
        <f>SUM(K7:K12)</f>
        <v>4037723138</v>
      </c>
      <c r="L13" s="228">
        <f t="shared" ref="L13:M13" si="0">SUM(L7:L12)</f>
        <v>3191057098</v>
      </c>
      <c r="M13" s="228">
        <f t="shared" si="0"/>
        <v>4695535138</v>
      </c>
    </row>
    <row r="14" spans="1:13" x14ac:dyDescent="0.25">
      <c r="A14" s="36" t="s">
        <v>146</v>
      </c>
      <c r="B14" s="37">
        <v>45147</v>
      </c>
      <c r="C14" s="38"/>
      <c r="D14" s="38"/>
      <c r="E14" s="38">
        <v>1054000</v>
      </c>
      <c r="F14" s="68">
        <v>51.9</v>
      </c>
      <c r="G14" s="68">
        <v>66.680000000000007</v>
      </c>
      <c r="H14" s="99">
        <v>62491660</v>
      </c>
    </row>
    <row r="15" spans="1:13" x14ac:dyDescent="0.25">
      <c r="A15" s="39" t="s">
        <v>84</v>
      </c>
      <c r="B15" s="40">
        <v>45168</v>
      </c>
      <c r="C15" s="41">
        <v>5657651</v>
      </c>
      <c r="D15" s="41"/>
      <c r="E15" s="41"/>
      <c r="F15" s="69">
        <v>63.03</v>
      </c>
      <c r="G15" s="75">
        <v>0</v>
      </c>
      <c r="H15" s="98">
        <v>356601742.53000003</v>
      </c>
    </row>
    <row r="16" spans="1:13" x14ac:dyDescent="0.25">
      <c r="A16" s="36" t="s">
        <v>130</v>
      </c>
      <c r="B16" s="37">
        <v>45238</v>
      </c>
      <c r="C16" s="38"/>
      <c r="D16" s="38"/>
      <c r="E16" s="38">
        <v>5000000</v>
      </c>
      <c r="F16" s="68">
        <v>51.9</v>
      </c>
      <c r="G16" s="68">
        <v>66.680000000000007</v>
      </c>
      <c r="H16" s="99">
        <v>259500000</v>
      </c>
    </row>
    <row r="17" spans="1:8" x14ac:dyDescent="0.25">
      <c r="A17" s="39" t="s">
        <v>85</v>
      </c>
      <c r="B17" s="40">
        <v>45266</v>
      </c>
      <c r="C17" s="41">
        <v>3442255</v>
      </c>
      <c r="D17" s="41">
        <v>2449759.8400000008</v>
      </c>
      <c r="E17" s="41"/>
      <c r="F17" s="69">
        <v>51.89</v>
      </c>
      <c r="G17" s="69">
        <v>45</v>
      </c>
      <c r="H17" s="98">
        <v>288857811.94999999</v>
      </c>
    </row>
    <row r="18" spans="1:8" x14ac:dyDescent="0.25">
      <c r="A18" s="95" t="s">
        <v>87</v>
      </c>
      <c r="B18" s="96">
        <v>45357</v>
      </c>
      <c r="C18" s="92">
        <v>5260000</v>
      </c>
      <c r="D18" s="92"/>
      <c r="E18" s="92"/>
      <c r="F18" s="93">
        <v>25.76</v>
      </c>
      <c r="G18" s="94">
        <v>0</v>
      </c>
      <c r="H18" s="97">
        <v>135497600</v>
      </c>
    </row>
    <row r="19" spans="1:8" x14ac:dyDescent="0.25">
      <c r="A19" s="39" t="s">
        <v>88</v>
      </c>
      <c r="B19" s="40">
        <v>45448</v>
      </c>
      <c r="C19" s="41">
        <v>5260000</v>
      </c>
      <c r="D19" s="41">
        <v>1317000</v>
      </c>
      <c r="E19" s="41"/>
      <c r="F19" s="69">
        <v>29.92</v>
      </c>
      <c r="G19" s="69">
        <v>24.02</v>
      </c>
      <c r="H19" s="98">
        <v>189013540</v>
      </c>
    </row>
    <row r="20" spans="1:8" s="235" customFormat="1" x14ac:dyDescent="0.25">
      <c r="A20" s="42" t="s">
        <v>89</v>
      </c>
      <c r="B20" s="43" t="s">
        <v>90</v>
      </c>
      <c r="C20" s="44">
        <f>SUM(C14:C19)</f>
        <v>19619906</v>
      </c>
      <c r="D20" s="44">
        <f>SUM(D14:D19)</f>
        <v>3766759.8400000008</v>
      </c>
      <c r="E20" s="44">
        <f>SUM(E14:E19)</f>
        <v>6054000</v>
      </c>
      <c r="F20" s="44"/>
      <c r="G20" s="44"/>
      <c r="H20" s="100">
        <f>SUM(H14:H19)</f>
        <v>1291962354.48</v>
      </c>
    </row>
    <row r="21" spans="1:8" s="235" customFormat="1" x14ac:dyDescent="0.25">
      <c r="A21" s="236"/>
      <c r="B21" s="236"/>
      <c r="C21" s="237"/>
      <c r="D21" s="237"/>
      <c r="E21" s="237"/>
      <c r="F21" s="237"/>
      <c r="G21" s="237"/>
      <c r="H21" s="238"/>
    </row>
    <row r="22" spans="1:8" x14ac:dyDescent="0.25">
      <c r="A22" s="236"/>
      <c r="B22" s="236"/>
      <c r="C22" s="237"/>
      <c r="D22" s="237"/>
      <c r="E22" s="237"/>
      <c r="F22" s="237"/>
      <c r="G22" s="237"/>
      <c r="H22" s="238"/>
    </row>
    <row r="23" spans="1:8" x14ac:dyDescent="0.25">
      <c r="A23" s="3" t="s">
        <v>144</v>
      </c>
      <c r="D23" s="170"/>
      <c r="E23" s="170"/>
      <c r="F23" s="170"/>
      <c r="G23" s="170"/>
      <c r="H23" s="170"/>
    </row>
    <row r="24" spans="1:8" ht="25.5" x14ac:dyDescent="0.25">
      <c r="A24" s="23" t="s">
        <v>77</v>
      </c>
      <c r="B24" s="24" t="s">
        <v>91</v>
      </c>
      <c r="C24" s="24" t="s">
        <v>133</v>
      </c>
      <c r="D24" s="24" t="s">
        <v>79</v>
      </c>
      <c r="E24" s="24" t="s">
        <v>80</v>
      </c>
      <c r="F24" s="24" t="s">
        <v>81</v>
      </c>
      <c r="G24" s="24" t="s">
        <v>82</v>
      </c>
      <c r="H24" s="25" t="s">
        <v>83</v>
      </c>
    </row>
    <row r="25" spans="1:8" x14ac:dyDescent="0.25">
      <c r="A25" s="39" t="s">
        <v>92</v>
      </c>
      <c r="B25" s="40">
        <v>45539</v>
      </c>
      <c r="C25" s="41">
        <v>5260000</v>
      </c>
      <c r="D25" s="41"/>
      <c r="E25" s="41"/>
      <c r="F25" s="69">
        <v>29.88</v>
      </c>
      <c r="G25" s="75">
        <v>0</v>
      </c>
      <c r="H25" s="98">
        <f>F25*C25</f>
        <v>157168800</v>
      </c>
    </row>
    <row r="26" spans="1:8" x14ac:dyDescent="0.25">
      <c r="A26" s="36" t="s">
        <v>145</v>
      </c>
      <c r="B26" s="37">
        <v>45567</v>
      </c>
      <c r="C26" s="38">
        <v>5312871</v>
      </c>
      <c r="D26" s="38"/>
      <c r="E26" s="38">
        <v>1022000</v>
      </c>
      <c r="F26" s="68">
        <v>56.16</v>
      </c>
      <c r="G26" s="68"/>
      <c r="H26" s="99">
        <f>F26*E26</f>
        <v>57395520</v>
      </c>
    </row>
    <row r="27" spans="1:8" x14ac:dyDescent="0.25">
      <c r="A27" s="39" t="s">
        <v>96</v>
      </c>
      <c r="B27" s="40">
        <v>45630</v>
      </c>
      <c r="C27" s="41">
        <v>5312871</v>
      </c>
      <c r="D27" s="41">
        <v>2222832</v>
      </c>
      <c r="E27" s="41"/>
      <c r="F27" s="69">
        <v>40.26</v>
      </c>
      <c r="G27" s="69">
        <v>26</v>
      </c>
      <c r="H27" s="98">
        <f>(F27*C27)+(G27*D27)</f>
        <v>271689818.45999998</v>
      </c>
    </row>
    <row r="28" spans="1:8" x14ac:dyDescent="0.25">
      <c r="A28" s="95" t="s">
        <v>99</v>
      </c>
      <c r="B28" s="96">
        <v>45721</v>
      </c>
      <c r="C28" s="92">
        <v>4600000</v>
      </c>
      <c r="D28" s="92"/>
      <c r="E28" s="92"/>
      <c r="F28" s="93">
        <v>50</v>
      </c>
      <c r="G28" s="94"/>
      <c r="H28" s="97">
        <f>F28*C28</f>
        <v>230000000</v>
      </c>
    </row>
    <row r="29" spans="1:8" x14ac:dyDescent="0.25">
      <c r="A29" s="39" t="s">
        <v>100</v>
      </c>
      <c r="B29" s="40">
        <v>45812</v>
      </c>
      <c r="C29" s="41">
        <v>4600000</v>
      </c>
      <c r="D29" s="41">
        <v>2000000</v>
      </c>
      <c r="E29" s="41"/>
      <c r="F29" s="201">
        <v>58.51</v>
      </c>
      <c r="G29" s="201">
        <v>26.61</v>
      </c>
      <c r="H29" s="202">
        <f>(F29*C29)+(G29*D29)</f>
        <v>322366000</v>
      </c>
    </row>
    <row r="30" spans="1:8" x14ac:dyDescent="0.25">
      <c r="A30" s="42" t="s">
        <v>89</v>
      </c>
      <c r="B30" s="43" t="s">
        <v>90</v>
      </c>
      <c r="C30" s="44">
        <f>SUM(C25:C29)</f>
        <v>25085742</v>
      </c>
      <c r="D30" s="44">
        <f>SUM(D25:D29)</f>
        <v>4222832</v>
      </c>
      <c r="E30" s="44">
        <f>SUM(E25:E29)</f>
        <v>1022000</v>
      </c>
      <c r="F30" s="203"/>
      <c r="G30" s="203"/>
      <c r="H30" s="204">
        <f>SUM(H25:H29)</f>
        <v>1038620138.46</v>
      </c>
    </row>
    <row r="31" spans="1:8" x14ac:dyDescent="0.25">
      <c r="A31" s="170"/>
      <c r="B31" s="170"/>
      <c r="C31" s="170"/>
      <c r="D31" s="170"/>
      <c r="E31" s="170"/>
      <c r="F31" s="170"/>
      <c r="G31" s="170"/>
      <c r="H31" s="170"/>
    </row>
    <row r="32" spans="1:8" x14ac:dyDescent="0.25">
      <c r="A32" s="3" t="s">
        <v>156</v>
      </c>
      <c r="D32" s="170"/>
      <c r="E32" s="170"/>
      <c r="F32" s="170"/>
      <c r="G32" s="170"/>
      <c r="H32" s="170"/>
    </row>
    <row r="33" spans="1:8" ht="25.5" x14ac:dyDescent="0.25">
      <c r="A33" s="23"/>
      <c r="B33" s="24"/>
      <c r="C33" s="24" t="s">
        <v>133</v>
      </c>
      <c r="D33" s="24" t="s">
        <v>79</v>
      </c>
      <c r="E33" s="24" t="s">
        <v>80</v>
      </c>
      <c r="F33" s="24" t="s">
        <v>81</v>
      </c>
      <c r="G33" s="24" t="s">
        <v>82</v>
      </c>
      <c r="H33" s="101" t="s">
        <v>83</v>
      </c>
    </row>
    <row r="34" spans="1:8" x14ac:dyDescent="0.25">
      <c r="A34" s="42" t="s">
        <v>89</v>
      </c>
      <c r="B34" s="43" t="s">
        <v>90</v>
      </c>
      <c r="C34" s="44">
        <f>C20+C9+C30</f>
        <v>59475870</v>
      </c>
      <c r="D34" s="44">
        <f>D20+D9+D30</f>
        <v>10439591.84</v>
      </c>
      <c r="E34" s="44">
        <f>E20+E9+E30</f>
        <v>7076000</v>
      </c>
      <c r="F34" s="44"/>
      <c r="G34" s="44"/>
      <c r="H34" s="100">
        <f>H20+H9+H30</f>
        <v>3187655609.9400001</v>
      </c>
    </row>
    <row r="39" spans="1:8" x14ac:dyDescent="0.25">
      <c r="A39" s="3" t="s">
        <v>212</v>
      </c>
    </row>
    <row r="77" spans="1:1" ht="15.75" x14ac:dyDescent="0.25">
      <c r="A77" s="241"/>
    </row>
  </sheetData>
  <sheetProtection algorithmName="SHA-512" hashValue="DI+kXplIojZS5NJGkKeMA6vqJwd6DlWxgW6mCih0jdLZBgxzoKQvJsf7xYTTHVfBIBXGKo8vMAJHD0KwmYrPiw==" saltValue="3VF8naigD4GW0E/xn421Eg==" spinCount="100000" sheet="1" objects="1" scenarios="1"/>
  <mergeCells count="1">
    <mergeCell ref="A3:H3"/>
  </mergeCells>
  <pageMargins left="0.7" right="0.7" top="0.75" bottom="0.75" header="0.3" footer="0.3"/>
  <pageSetup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0D5F64E7D53248A30F7A978C0C6E8E" ma:contentTypeVersion="17" ma:contentTypeDescription="Create a new document." ma:contentTypeScope="" ma:versionID="297e6043a496ef11715df272ca862252">
  <xsd:schema xmlns:xsd="http://www.w3.org/2001/XMLSchema" xmlns:xs="http://www.w3.org/2001/XMLSchema" xmlns:p="http://schemas.microsoft.com/office/2006/metadata/properties" xmlns:ns1="http://schemas.microsoft.com/sharepoint/v3" xmlns:ns2="34ae3ea1-2579-4420-8a02-99aa7aba4e98" xmlns:ns3="1b2b60ae-809c-4da6-bd35-367b6a29f866" targetNamespace="http://schemas.microsoft.com/office/2006/metadata/properties" ma:root="true" ma:fieldsID="175ab45dd052cb858fde0215305421e6" ns1:_="" ns2:_="" ns3:_="">
    <xsd:import namespace="http://schemas.microsoft.com/sharepoint/v3"/>
    <xsd:import namespace="34ae3ea1-2579-4420-8a02-99aa7aba4e98"/>
    <xsd:import namespace="1b2b60ae-809c-4da6-bd35-367b6a29f8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ae3ea1-2579-4420-8a02-99aa7aba4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2b60ae-809c-4da6-bd35-367b6a29f8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d40e8ac-d4ce-4e88-8e6a-8a6799b6c7a7}" ma:internalName="TaxCatchAll" ma:showField="CatchAllData" ma:web="1b2b60ae-809c-4da6-bd35-367b6a29f8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4ae3ea1-2579-4420-8a02-99aa7aba4e98">
      <Terms xmlns="http://schemas.microsoft.com/office/infopath/2007/PartnerControls"/>
    </lcf76f155ced4ddcb4097134ff3c332f>
    <TaxCatchAll xmlns="1b2b60ae-809c-4da6-bd35-367b6a29f866"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AA53F39-F622-46F7-B2F8-D22731450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ae3ea1-2579-4420-8a02-99aa7aba4e98"/>
    <ds:schemaRef ds:uri="1b2b60ae-809c-4da6-bd35-367b6a29f8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731B8E-014C-47A4-8884-E72211A59C5F}">
  <ds:schemaRefs>
    <ds:schemaRef ds:uri="http://schemas.microsoft.com/sharepoint/v3/contenttype/forms"/>
  </ds:schemaRefs>
</ds:datastoreItem>
</file>

<file path=customXml/itemProps3.xml><?xml version="1.0" encoding="utf-8"?>
<ds:datastoreItem xmlns:ds="http://schemas.openxmlformats.org/officeDocument/2006/customXml" ds:itemID="{76F4961E-D905-4275-A26B-FFA500300DBD}">
  <ds:schemaRefs>
    <ds:schemaRef ds:uri="http://schemas.microsoft.com/office/2006/documentManagement/types"/>
    <ds:schemaRef ds:uri="http://purl.org/dc/elements/1.1/"/>
    <ds:schemaRef ds:uri="http://www.w3.org/XML/1998/namespace"/>
    <ds:schemaRef ds:uri="http://schemas.microsoft.com/office/infopath/2007/PartnerControls"/>
    <ds:schemaRef ds:uri="34ae3ea1-2579-4420-8a02-99aa7aba4e98"/>
    <ds:schemaRef ds:uri="http://schemas.microsoft.com/office/2006/metadata/properties"/>
    <ds:schemaRef ds:uri="http://schemas.microsoft.com/sharepoint/v3"/>
    <ds:schemaRef ds:uri="http://schemas.openxmlformats.org/package/2006/metadata/core-properties"/>
    <ds:schemaRef ds:uri="1b2b60ae-809c-4da6-bd35-367b6a29f866"/>
    <ds:schemaRef ds:uri="http://purl.org/dc/dcmitype/"/>
    <ds:schemaRef ds:uri="http://purl.org/dc/terms/"/>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Forecast Summary</vt:lpstr>
      <vt:lpstr>Allowance Price Tables</vt:lpstr>
      <vt:lpstr>Appendix A - Supply Tables</vt:lpstr>
      <vt:lpstr>Appendix B - By Auction Detail</vt:lpstr>
      <vt:lpstr>Revenue - Historic Actuals</vt:lpstr>
      <vt:lpstr>UnspEF</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Garret (ECY)</dc:creator>
  <cp:keywords/>
  <dc:description/>
  <cp:lastModifiedBy>Baird, Leah (ECY)</cp:lastModifiedBy>
  <cp:revision/>
  <dcterms:created xsi:type="dcterms:W3CDTF">2023-11-14T15:46:59Z</dcterms:created>
  <dcterms:modified xsi:type="dcterms:W3CDTF">2025-07-11T17:02:23Z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0x010100040D5F64E7D53248A30F7A978C0C6E8E</vt:lpwstr>
  </property>
  <property fmtid="{D5CDD505-2E9C-101B-9397-08002B2CF9AE}" pid="3" name="MediaServiceImageTags">
    <vt:lpwstr/>
  </property>
</Properties>
</file>