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yan461\OneDrive - Washington State Executive Branch Agencies\Documents\Forms\CPR\ECY 070-779\"/>
    </mc:Choice>
  </mc:AlternateContent>
  <xr:revisionPtr revIDLastSave="0" documentId="8_{0BCFC185-6D34-4EC7-B522-9F781FA6BE15}" xr6:coauthVersionLast="47" xr6:coauthVersionMax="47" xr10:uidLastSave="{00000000-0000-0000-0000-000000000000}"/>
  <workbookProtection workbookAlgorithmName="SHA-512" workbookHashValue="8rNlR2H2Dheq98k0BUi89WC/wgEXuGDYSt3Gxx7I+YOL3+7CPAvWwkjPv9xp82WJWevBNcz0H/Uri89JCuj5MQ==" workbookSaltValue="S2eYMxhoKLI+uCJX5FrR6A==" workbookSpinCount="100000" lockStructure="1"/>
  <bookViews>
    <workbookView xWindow="-108" yWindow="-108" windowWidth="23256" windowHeight="12456" activeTab="1" xr2:uid="{02A39EFE-4CB9-420D-8D7F-B287BC5BA2AD}"/>
  </bookViews>
  <sheets>
    <sheet name="Start here" sheetId="1" r:id="rId1"/>
    <sheet name="Aggregate products" sheetId="2" r:id="rId2"/>
    <sheet name="Reference" sheetId="4" r:id="rId3"/>
    <sheet name="Validation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B22" i="1"/>
  <c r="B23" i="1"/>
  <c r="AC79" i="2"/>
  <c r="AC81" i="2"/>
  <c r="AC82" i="2"/>
  <c r="AC83" i="2"/>
  <c r="AC85" i="2"/>
  <c r="AC86" i="2"/>
  <c r="AB79" i="2"/>
  <c r="AB81" i="2"/>
  <c r="AB82" i="2"/>
  <c r="AB83" i="2"/>
  <c r="AB85" i="2"/>
  <c r="AB86" i="2"/>
  <c r="AA79" i="2"/>
  <c r="AA81" i="2"/>
  <c r="AA82" i="2"/>
  <c r="AA83" i="2"/>
  <c r="AA85" i="2"/>
  <c r="AA86" i="2"/>
  <c r="Z79" i="2"/>
  <c r="Z81" i="2"/>
  <c r="Z82" i="2"/>
  <c r="Z83" i="2"/>
  <c r="Z85" i="2"/>
  <c r="Z86" i="2"/>
  <c r="Y79" i="2"/>
  <c r="Y80" i="2"/>
  <c r="Y81" i="2"/>
  <c r="Y82" i="2"/>
  <c r="Y83" i="2"/>
  <c r="Y84" i="2"/>
  <c r="Y85" i="2"/>
  <c r="Y86" i="2"/>
  <c r="X79" i="2"/>
  <c r="X80" i="2"/>
  <c r="AB80" i="2" s="1"/>
  <c r="X81" i="2"/>
  <c r="X82" i="2"/>
  <c r="X83" i="2"/>
  <c r="X84" i="2"/>
  <c r="X85" i="2"/>
  <c r="X86" i="2"/>
  <c r="W79" i="2"/>
  <c r="W81" i="2"/>
  <c r="W82" i="2"/>
  <c r="W83" i="2"/>
  <c r="W85" i="2"/>
  <c r="W86" i="2"/>
  <c r="V79" i="2"/>
  <c r="V80" i="2"/>
  <c r="V81" i="2"/>
  <c r="V82" i="2"/>
  <c r="V83" i="2"/>
  <c r="V85" i="2"/>
  <c r="V86" i="2"/>
  <c r="U79" i="2"/>
  <c r="U80" i="2"/>
  <c r="U81" i="2"/>
  <c r="U82" i="2"/>
  <c r="U83" i="2"/>
  <c r="U85" i="2"/>
  <c r="U86" i="2"/>
  <c r="T79" i="2"/>
  <c r="T81" i="2"/>
  <c r="T82" i="2"/>
  <c r="T83" i="2"/>
  <c r="T85" i="2"/>
  <c r="T86" i="2"/>
  <c r="S79" i="2"/>
  <c r="S81" i="2"/>
  <c r="S82" i="2"/>
  <c r="S83" i="2"/>
  <c r="S85" i="2"/>
  <c r="S86" i="2"/>
  <c r="R79" i="2"/>
  <c r="R80" i="2"/>
  <c r="T80" i="2" s="1"/>
  <c r="R81" i="2"/>
  <c r="R82" i="2"/>
  <c r="R83" i="2"/>
  <c r="R84" i="2"/>
  <c r="T84" i="2" s="1"/>
  <c r="R85" i="2"/>
  <c r="R86" i="2"/>
  <c r="Q79" i="2"/>
  <c r="Q80" i="2"/>
  <c r="Q81" i="2"/>
  <c r="Q82" i="2"/>
  <c r="Q83" i="2"/>
  <c r="Q84" i="2"/>
  <c r="U84" i="2" s="1"/>
  <c r="Q85" i="2"/>
  <c r="Q86" i="2"/>
  <c r="Q77" i="2"/>
  <c r="AE79" i="2"/>
  <c r="AE80" i="2"/>
  <c r="AE81" i="2"/>
  <c r="AE82" i="2"/>
  <c r="AE83" i="2"/>
  <c r="AE84" i="2"/>
  <c r="AE85" i="2"/>
  <c r="AE86" i="2"/>
  <c r="V84" i="2" l="1"/>
  <c r="S84" i="2"/>
  <c r="W84" i="2" s="1"/>
  <c r="AB84" i="2"/>
  <c r="AA84" i="2"/>
  <c r="Z84" i="2"/>
  <c r="AC84" i="2" s="1"/>
  <c r="S80" i="2"/>
  <c r="W80" i="2" s="1"/>
  <c r="AA80" i="2"/>
  <c r="Z80" i="2"/>
  <c r="AC80" i="2" s="1"/>
  <c r="G78" i="2" l="1"/>
  <c r="G79" i="2"/>
  <c r="G80" i="2"/>
  <c r="G81" i="2"/>
  <c r="G82" i="2"/>
  <c r="G83" i="2"/>
  <c r="G84" i="2"/>
  <c r="G85" i="2"/>
  <c r="G86" i="2"/>
  <c r="G77" i="2"/>
  <c r="AD17" i="2"/>
  <c r="AD24" i="2"/>
  <c r="AD37" i="2"/>
  <c r="AD40" i="2"/>
  <c r="AD43" i="2"/>
  <c r="AD62" i="2"/>
  <c r="B24" i="5"/>
  <c r="B23" i="5"/>
  <c r="B20" i="5"/>
  <c r="AE17" i="2"/>
  <c r="AE24" i="2"/>
  <c r="AE37" i="2"/>
  <c r="AE40" i="2"/>
  <c r="AE43" i="2"/>
  <c r="AE62" i="2"/>
  <c r="R78" i="2" l="1"/>
  <c r="T78" i="2" s="1"/>
  <c r="Y78" i="2"/>
  <c r="AE78" i="2"/>
  <c r="Q78" i="2"/>
  <c r="X78" i="2"/>
  <c r="AE77" i="2"/>
  <c r="X77" i="2"/>
  <c r="Z77" i="2" s="1"/>
  <c r="Y77" i="2"/>
  <c r="R77" i="2"/>
  <c r="E16" i="1"/>
  <c r="AA78" i="2" l="1"/>
  <c r="AB78" i="2"/>
  <c r="Z78" i="2"/>
  <c r="U78" i="2"/>
  <c r="S78" i="2"/>
  <c r="W78" i="2" s="1"/>
  <c r="V78" i="2"/>
  <c r="T77" i="2"/>
  <c r="S77" i="2"/>
  <c r="V77" i="2"/>
  <c r="U77" i="2"/>
  <c r="AB77" i="2"/>
  <c r="AA77" i="2"/>
  <c r="B12" i="5"/>
  <c r="AC78" i="2" l="1"/>
  <c r="AC77" i="2"/>
  <c r="W77" i="2"/>
  <c r="Q6" i="5"/>
  <c r="Q7" i="5"/>
  <c r="Q13" i="5"/>
  <c r="Q15" i="5"/>
  <c r="Q16" i="5"/>
  <c r="Q19" i="5"/>
  <c r="Q20" i="5"/>
  <c r="Q23" i="5"/>
  <c r="Q24" i="5"/>
  <c r="Q25" i="5"/>
  <c r="Q29" i="5"/>
  <c r="Q35" i="5"/>
  <c r="Q36" i="5"/>
  <c r="Q39" i="5"/>
  <c r="Q40" i="5"/>
  <c r="Q41" i="5"/>
  <c r="Q42" i="5"/>
  <c r="Q47" i="5"/>
  <c r="Q48" i="5"/>
  <c r="Q51" i="5"/>
  <c r="Q52" i="5"/>
  <c r="Q56" i="5"/>
  <c r="Q57" i="5"/>
  <c r="Q61" i="5"/>
  <c r="X66" i="2"/>
  <c r="X63" i="2"/>
  <c r="X48" i="2"/>
  <c r="X49" i="2"/>
  <c r="X53" i="2"/>
  <c r="X56" i="2"/>
  <c r="X58" i="2"/>
  <c r="X59" i="2"/>
  <c r="X60" i="2"/>
  <c r="X42" i="2"/>
  <c r="X41" i="2"/>
  <c r="X39" i="2"/>
  <c r="X30" i="2"/>
  <c r="X31" i="2"/>
  <c r="X35" i="2"/>
  <c r="X19" i="2"/>
  <c r="X20" i="2"/>
  <c r="X21" i="2"/>
  <c r="X8" i="2"/>
  <c r="X9" i="2"/>
  <c r="X12" i="2"/>
  <c r="X13" i="2"/>
  <c r="X14" i="2"/>
  <c r="G63" i="2"/>
  <c r="Q62" i="5" s="1"/>
  <c r="G64" i="2"/>
  <c r="X64" i="2" s="1"/>
  <c r="G65" i="2"/>
  <c r="X65" i="2" s="1"/>
  <c r="G66" i="2"/>
  <c r="G41" i="2"/>
  <c r="G42" i="2"/>
  <c r="G44" i="2"/>
  <c r="Q43" i="5" s="1"/>
  <c r="G45" i="2"/>
  <c r="G46" i="2"/>
  <c r="G47" i="2"/>
  <c r="Q46" i="5" s="1"/>
  <c r="G48" i="2"/>
  <c r="G49" i="2"/>
  <c r="G50" i="2"/>
  <c r="G51" i="2"/>
  <c r="G52" i="2"/>
  <c r="X52" i="2" s="1"/>
  <c r="G53" i="2"/>
  <c r="G54" i="2"/>
  <c r="X54" i="2" s="1"/>
  <c r="G55" i="2"/>
  <c r="X55" i="2" s="1"/>
  <c r="G56" i="2"/>
  <c r="G57" i="2"/>
  <c r="X57" i="2" s="1"/>
  <c r="G58" i="2"/>
  <c r="G59" i="2"/>
  <c r="G60" i="2"/>
  <c r="Q59" i="5" s="1"/>
  <c r="G61" i="2"/>
  <c r="G39" i="2"/>
  <c r="G38" i="2"/>
  <c r="G26" i="2"/>
  <c r="G27" i="2"/>
  <c r="G28" i="2"/>
  <c r="G29" i="2"/>
  <c r="G30" i="2"/>
  <c r="G31" i="2"/>
  <c r="Q30" i="5" s="1"/>
  <c r="G32" i="2"/>
  <c r="Q31" i="5" s="1"/>
  <c r="G33" i="2"/>
  <c r="X33" i="2" s="1"/>
  <c r="G34" i="2"/>
  <c r="X34" i="2" s="1"/>
  <c r="G35" i="2"/>
  <c r="Q34" i="5" s="1"/>
  <c r="G36" i="2"/>
  <c r="G25" i="2"/>
  <c r="G19" i="2"/>
  <c r="Q18" i="5" s="1"/>
  <c r="G20" i="2"/>
  <c r="G21" i="2"/>
  <c r="G22" i="2"/>
  <c r="G23" i="2"/>
  <c r="G18" i="2"/>
  <c r="G5" i="2"/>
  <c r="G6" i="2"/>
  <c r="G7" i="2"/>
  <c r="X7" i="2" s="1"/>
  <c r="G8" i="2"/>
  <c r="G9" i="2"/>
  <c r="Q8" i="5" s="1"/>
  <c r="G10" i="2"/>
  <c r="X10" i="2" s="1"/>
  <c r="G11" i="2"/>
  <c r="G12" i="2"/>
  <c r="Q11" i="5" s="1"/>
  <c r="G13" i="2"/>
  <c r="Q12" i="5" s="1"/>
  <c r="G14" i="2"/>
  <c r="G15" i="2"/>
  <c r="Q14" i="5" s="1"/>
  <c r="G16" i="2"/>
  <c r="G4" i="2"/>
  <c r="B11" i="5"/>
  <c r="AD11" i="2" l="1"/>
  <c r="AE11" i="2"/>
  <c r="AE28" i="2"/>
  <c r="AD28" i="2"/>
  <c r="AE50" i="2"/>
  <c r="AD50" i="2"/>
  <c r="AE51" i="2"/>
  <c r="AD51" i="2"/>
  <c r="Q50" i="5"/>
  <c r="AE34" i="2"/>
  <c r="AD34" i="2"/>
  <c r="AE56" i="2"/>
  <c r="AD56" i="2"/>
  <c r="AE65" i="2"/>
  <c r="AE29" i="2"/>
  <c r="AD29" i="2"/>
  <c r="AD5" i="2"/>
  <c r="AE5" i="2"/>
  <c r="AE18" i="2"/>
  <c r="AD18" i="2"/>
  <c r="AD27" i="2"/>
  <c r="AE27" i="2"/>
  <c r="AE49" i="2"/>
  <c r="AD49" i="2"/>
  <c r="AE23" i="2"/>
  <c r="AD23" i="2"/>
  <c r="AE26" i="2"/>
  <c r="AD26" i="2"/>
  <c r="AE48" i="2"/>
  <c r="AD48" i="2"/>
  <c r="X11" i="2"/>
  <c r="X32" i="2"/>
  <c r="Q49" i="5"/>
  <c r="Q33" i="5"/>
  <c r="Q17" i="5"/>
  <c r="AE33" i="2"/>
  <c r="AD33" i="2"/>
  <c r="AE64" i="2"/>
  <c r="AE21" i="2"/>
  <c r="AD21" i="2"/>
  <c r="AE39" i="2"/>
  <c r="AD39" i="2"/>
  <c r="Q63" i="5"/>
  <c r="AE16" i="2"/>
  <c r="AD16" i="2"/>
  <c r="AE20" i="2"/>
  <c r="AD20" i="2"/>
  <c r="AE61" i="2"/>
  <c r="AD61" i="2"/>
  <c r="AE45" i="2"/>
  <c r="AD45" i="2"/>
  <c r="X29" i="2"/>
  <c r="Q64" i="5"/>
  <c r="AE14" i="2"/>
  <c r="AD14" i="2"/>
  <c r="AD25" i="2"/>
  <c r="AE25" i="2"/>
  <c r="AE59" i="2"/>
  <c r="AD59" i="2"/>
  <c r="AD42" i="2"/>
  <c r="AE42" i="2"/>
  <c r="X18" i="2"/>
  <c r="X27" i="2"/>
  <c r="Q60" i="5"/>
  <c r="Q44" i="5"/>
  <c r="Q28" i="5"/>
  <c r="AE6" i="2"/>
  <c r="AD6" i="2"/>
  <c r="AE4" i="2"/>
  <c r="AD4" i="2"/>
  <c r="AE13" i="2"/>
  <c r="AD13" i="2"/>
  <c r="AE36" i="2"/>
  <c r="AD36" i="2"/>
  <c r="AD58" i="2"/>
  <c r="AE58" i="2"/>
  <c r="AD41" i="2"/>
  <c r="AE41" i="2"/>
  <c r="X23" i="2"/>
  <c r="X26" i="2"/>
  <c r="X51" i="2"/>
  <c r="Q27" i="5"/>
  <c r="AE55" i="2"/>
  <c r="AD55" i="2"/>
  <c r="AE22" i="2"/>
  <c r="AD22" i="2"/>
  <c r="AE38" i="2"/>
  <c r="AD38" i="2"/>
  <c r="AE47" i="2"/>
  <c r="AD47" i="2"/>
  <c r="Q32" i="5"/>
  <c r="AE46" i="2"/>
  <c r="AD46" i="2"/>
  <c r="AE15" i="2"/>
  <c r="AD15" i="2"/>
  <c r="AE19" i="2"/>
  <c r="AD19" i="2"/>
  <c r="AE60" i="2"/>
  <c r="AD60" i="2"/>
  <c r="AE44" i="2"/>
  <c r="AD44" i="2"/>
  <c r="X5" i="2"/>
  <c r="X28" i="2"/>
  <c r="Q45" i="5"/>
  <c r="AE12" i="2"/>
  <c r="AD12" i="2"/>
  <c r="AE35" i="2"/>
  <c r="AD35" i="2"/>
  <c r="AD57" i="2"/>
  <c r="AE57" i="2"/>
  <c r="AE66" i="2"/>
  <c r="X22" i="2"/>
  <c r="X38" i="2"/>
  <c r="X50" i="2"/>
  <c r="Q58" i="5"/>
  <c r="Q26" i="5"/>
  <c r="Q10" i="5"/>
  <c r="AD9" i="2"/>
  <c r="AE9" i="2"/>
  <c r="AE32" i="2"/>
  <c r="AD32" i="2"/>
  <c r="AE54" i="2"/>
  <c r="AD54" i="2"/>
  <c r="AE63" i="2"/>
  <c r="Q55" i="5"/>
  <c r="AD8" i="2"/>
  <c r="AE8" i="2"/>
  <c r="AE31" i="2"/>
  <c r="AD31" i="2"/>
  <c r="AE53" i="2"/>
  <c r="AD53" i="2"/>
  <c r="X16" i="2"/>
  <c r="X25" i="2"/>
  <c r="X44" i="2"/>
  <c r="X46" i="2"/>
  <c r="Q54" i="5"/>
  <c r="Q38" i="5"/>
  <c r="Q22" i="5"/>
  <c r="Q4" i="5"/>
  <c r="X47" i="2"/>
  <c r="AE7" i="2"/>
  <c r="AD7" i="2"/>
  <c r="AE30" i="2"/>
  <c r="AD30" i="2"/>
  <c r="AE52" i="2"/>
  <c r="AD52" i="2"/>
  <c r="X15" i="2"/>
  <c r="X36" i="2"/>
  <c r="X61" i="2"/>
  <c r="X45" i="2"/>
  <c r="Q53" i="5"/>
  <c r="Q37" i="5"/>
  <c r="Q21" i="5"/>
  <c r="Q65" i="5"/>
  <c r="AD10" i="2"/>
  <c r="AE10" i="2"/>
  <c r="Q9" i="5"/>
  <c r="X6" i="2"/>
  <c r="Q5" i="5"/>
  <c r="Q3" i="5"/>
  <c r="X4" i="2"/>
  <c r="E14" i="1"/>
  <c r="B21" i="5" l="1"/>
  <c r="Q4" i="2"/>
  <c r="B9" i="5" l="1"/>
  <c r="E10" i="1" s="1"/>
  <c r="B5" i="5"/>
  <c r="B2" i="5"/>
  <c r="B1" i="5"/>
  <c r="D98" i="4" l="1"/>
  <c r="N3" i="5" l="1"/>
  <c r="O3" i="5" s="1"/>
  <c r="E13" i="1"/>
  <c r="N6" i="5"/>
  <c r="O6" i="5" s="1"/>
  <c r="N7" i="5"/>
  <c r="O7" i="5" s="1"/>
  <c r="N8" i="5"/>
  <c r="O8" i="5" s="1"/>
  <c r="N9" i="5"/>
  <c r="O9" i="5" s="1"/>
  <c r="N10" i="5"/>
  <c r="O10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9" i="5"/>
  <c r="O39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3" i="5"/>
  <c r="O73" i="5" s="1"/>
  <c r="N74" i="5"/>
  <c r="O74" i="5" s="1"/>
  <c r="B10" i="5"/>
  <c r="E11" i="1" s="1"/>
  <c r="N72" i="5"/>
  <c r="O72" i="5" s="1"/>
  <c r="N62" i="5" l="1"/>
  <c r="O62" i="5" s="1"/>
  <c r="N63" i="5"/>
  <c r="O63" i="5" s="1"/>
  <c r="N61" i="5" l="1"/>
  <c r="O61" i="5" s="1"/>
  <c r="N41" i="5"/>
  <c r="O41" i="5" s="1"/>
  <c r="N4" i="5"/>
  <c r="O4" i="5" s="1"/>
  <c r="B19" i="5" s="1"/>
  <c r="E12" i="1" s="1"/>
  <c r="N37" i="5"/>
  <c r="O37" i="5" s="1"/>
  <c r="N38" i="5"/>
  <c r="O38" i="5" s="1"/>
  <c r="N40" i="5"/>
  <c r="O40" i="5" s="1"/>
  <c r="N42" i="5"/>
  <c r="O42" i="5" s="1"/>
  <c r="N52" i="5"/>
  <c r="O52" i="5" s="1"/>
  <c r="T3" i="2" l="1"/>
  <c r="V4" i="2"/>
  <c r="U4" i="2" l="1"/>
  <c r="Y42" i="2"/>
  <c r="Y5" i="2"/>
  <c r="Y6" i="2"/>
  <c r="Y7" i="2"/>
  <c r="Y8" i="2"/>
  <c r="Y9" i="2"/>
  <c r="Y10" i="2"/>
  <c r="Y11" i="2"/>
  <c r="Y12" i="2"/>
  <c r="Y13" i="2"/>
  <c r="Y14" i="2"/>
  <c r="Y15" i="2"/>
  <c r="Y16" i="2"/>
  <c r="Y18" i="2"/>
  <c r="Y19" i="2"/>
  <c r="Y20" i="2"/>
  <c r="Y21" i="2"/>
  <c r="Y22" i="2"/>
  <c r="Y23" i="2"/>
  <c r="Y25" i="2"/>
  <c r="Y26" i="2"/>
  <c r="Y27" i="2"/>
  <c r="Y28" i="2"/>
  <c r="Y29" i="2"/>
  <c r="Y30" i="2"/>
  <c r="Y31" i="2"/>
  <c r="Y32" i="2"/>
  <c r="Y33" i="2"/>
  <c r="Y34" i="2"/>
  <c r="Y35" i="2"/>
  <c r="Y36" i="2"/>
  <c r="Y38" i="2"/>
  <c r="Y39" i="2"/>
  <c r="Y41" i="2"/>
  <c r="Y44" i="2"/>
  <c r="Y45" i="2"/>
  <c r="Y46" i="2"/>
  <c r="Y47" i="2"/>
  <c r="Y48" i="2"/>
  <c r="Y50" i="2"/>
  <c r="Y51" i="2"/>
  <c r="Y52" i="2"/>
  <c r="Y53" i="2"/>
  <c r="Y54" i="2"/>
  <c r="Y55" i="2"/>
  <c r="Y56" i="2"/>
  <c r="Y57" i="2"/>
  <c r="Y58" i="2"/>
  <c r="Y59" i="2"/>
  <c r="Y60" i="2"/>
  <c r="Y61" i="2"/>
  <c r="Y63" i="2"/>
  <c r="Y64" i="2"/>
  <c r="Y65" i="2"/>
  <c r="Y66" i="2"/>
  <c r="Y4" i="2"/>
  <c r="R4" i="2"/>
  <c r="T4" i="2" s="1"/>
  <c r="R5" i="2"/>
  <c r="T5" i="2" s="1"/>
  <c r="AB21" i="5"/>
  <c r="X54" i="5"/>
  <c r="AA60" i="5"/>
  <c r="X62" i="5"/>
  <c r="AC26" i="5"/>
  <c r="Z35" i="5"/>
  <c r="AF24" i="5"/>
  <c r="X35" i="5"/>
  <c r="AF15" i="5"/>
  <c r="AB13" i="5"/>
  <c r="U40" i="5"/>
  <c r="AG32" i="5"/>
  <c r="AC39" i="5"/>
  <c r="X24" i="5"/>
  <c r="Z55" i="5"/>
  <c r="AC37" i="5"/>
  <c r="Z63" i="5"/>
  <c r="AG59" i="5"/>
  <c r="X29" i="5"/>
  <c r="AE28" i="5"/>
  <c r="Y64" i="5"/>
  <c r="AE64" i="5"/>
  <c r="W59" i="5"/>
  <c r="U65" i="5"/>
  <c r="V46" i="5"/>
  <c r="AB33" i="5"/>
  <c r="AC14" i="5"/>
  <c r="AE20" i="5"/>
  <c r="Z62" i="5"/>
  <c r="AA21" i="5"/>
  <c r="AA55" i="5"/>
  <c r="X7" i="5"/>
  <c r="AA16" i="5"/>
  <c r="AC19" i="5"/>
  <c r="Y36" i="5"/>
  <c r="W53" i="5"/>
  <c r="AF47" i="5"/>
  <c r="Y41" i="5"/>
  <c r="U52" i="5"/>
  <c r="AF61" i="5"/>
  <c r="AA10" i="5"/>
  <c r="AC64" i="5"/>
  <c r="AC52" i="5"/>
  <c r="AG37" i="5"/>
  <c r="AA63" i="5"/>
  <c r="AC22" i="5"/>
  <c r="AF32" i="5"/>
  <c r="AA58" i="5"/>
  <c r="AE52" i="5"/>
  <c r="AA44" i="5"/>
  <c r="AD48" i="5"/>
  <c r="AE58" i="5"/>
  <c r="AF19" i="5"/>
  <c r="AA34" i="5"/>
  <c r="AC24" i="5"/>
  <c r="AA15" i="5"/>
  <c r="AG41" i="5"/>
  <c r="AB55" i="5"/>
  <c r="Y10" i="5"/>
  <c r="X46" i="5"/>
  <c r="V61" i="5"/>
  <c r="AF30" i="5"/>
  <c r="AD47" i="5"/>
  <c r="AE38" i="5"/>
  <c r="AC45" i="5"/>
  <c r="AE4" i="5"/>
  <c r="W13" i="5"/>
  <c r="AB32" i="5"/>
  <c r="AC13" i="5"/>
  <c r="V36" i="5"/>
  <c r="AF12" i="5"/>
  <c r="AB16" i="5"/>
  <c r="Y16" i="5"/>
  <c r="W55" i="5"/>
  <c r="AA6" i="5"/>
  <c r="X22" i="5"/>
  <c r="AF11" i="5"/>
  <c r="AD58" i="5"/>
  <c r="W34" i="5"/>
  <c r="X11" i="5"/>
  <c r="Z51" i="5"/>
  <c r="AB18" i="5"/>
  <c r="U41" i="5"/>
  <c r="AB35" i="5"/>
  <c r="V6" i="5"/>
  <c r="V13" i="5"/>
  <c r="X5" i="5"/>
  <c r="W60" i="5"/>
  <c r="AE46" i="5"/>
  <c r="U5" i="5"/>
  <c r="W64" i="5"/>
  <c r="AG16" i="5"/>
  <c r="AG45" i="5"/>
  <c r="U51" i="5"/>
  <c r="AD12" i="5"/>
  <c r="W35" i="5"/>
  <c r="W29" i="5"/>
  <c r="Y51" i="5"/>
  <c r="W12" i="5"/>
  <c r="AC32" i="5"/>
  <c r="Y19" i="5"/>
  <c r="AB38" i="5"/>
  <c r="X41" i="5"/>
  <c r="AG48" i="5"/>
  <c r="AG9" i="5"/>
  <c r="AD11" i="5"/>
  <c r="Y28" i="5"/>
  <c r="AG22" i="5"/>
  <c r="AA14" i="5"/>
  <c r="AB24" i="5"/>
  <c r="AF21" i="5"/>
  <c r="AC21" i="5"/>
  <c r="AB60" i="5"/>
  <c r="Y39" i="5"/>
  <c r="AD19" i="5"/>
  <c r="AC65" i="5"/>
  <c r="W26" i="5"/>
  <c r="X27" i="5"/>
  <c r="AC15" i="5"/>
  <c r="AC63" i="5"/>
  <c r="Y4" i="5"/>
  <c r="Y6" i="5"/>
  <c r="AA65" i="5"/>
  <c r="Y5" i="5"/>
  <c r="Y34" i="5"/>
  <c r="X10" i="5"/>
  <c r="AE57" i="5"/>
  <c r="W21" i="5"/>
  <c r="AG12" i="5"/>
  <c r="Z26" i="5"/>
  <c r="Z57" i="5"/>
  <c r="V12" i="5"/>
  <c r="Z14" i="5"/>
  <c r="AG40" i="5"/>
  <c r="AB28" i="5"/>
  <c r="AE12" i="5"/>
  <c r="U58" i="5"/>
  <c r="V20" i="5"/>
  <c r="AA49" i="5"/>
  <c r="W4" i="5"/>
  <c r="AE62" i="5"/>
  <c r="AE54" i="5"/>
  <c r="W52" i="5"/>
  <c r="AB40" i="5"/>
  <c r="AB31" i="5"/>
  <c r="U44" i="5"/>
  <c r="V30" i="5"/>
  <c r="V57" i="5"/>
  <c r="Z19" i="5"/>
  <c r="V10" i="5"/>
  <c r="W28" i="5"/>
  <c r="V32" i="5"/>
  <c r="Z48" i="5"/>
  <c r="AC58" i="5"/>
  <c r="AF56" i="5"/>
  <c r="AA20" i="5"/>
  <c r="Y22" i="5"/>
  <c r="AF41" i="5"/>
  <c r="V9" i="5"/>
  <c r="Y11" i="5"/>
  <c r="Z58" i="5"/>
  <c r="X39" i="5"/>
  <c r="W30" i="5"/>
  <c r="AE25" i="5"/>
  <c r="AE18" i="5"/>
  <c r="V18" i="5"/>
  <c r="AA31" i="5"/>
  <c r="AF63" i="5"/>
  <c r="AA19" i="5"/>
  <c r="AB52" i="5"/>
  <c r="U57" i="5"/>
  <c r="Z17" i="5"/>
  <c r="Z61" i="5"/>
  <c r="U24" i="5"/>
  <c r="AG51" i="5"/>
  <c r="AC46" i="5"/>
  <c r="W37" i="5"/>
  <c r="AG47" i="5"/>
  <c r="AA42" i="5"/>
  <c r="AF9" i="5"/>
  <c r="V23" i="5"/>
  <c r="X34" i="5"/>
  <c r="Y35" i="5"/>
  <c r="AD20" i="5"/>
  <c r="AA50" i="5"/>
  <c r="V24" i="5"/>
  <c r="AA47" i="5"/>
  <c r="X14" i="5"/>
  <c r="AA61" i="5"/>
  <c r="W42" i="5"/>
  <c r="V62" i="5"/>
  <c r="Y27" i="5"/>
  <c r="V44" i="5"/>
  <c r="AF44" i="5"/>
  <c r="AB27" i="5"/>
  <c r="AA57" i="5"/>
  <c r="AF18" i="5"/>
  <c r="V40" i="5"/>
  <c r="AC57" i="5"/>
  <c r="AF39" i="5"/>
  <c r="U32" i="5"/>
  <c r="Y57" i="5"/>
  <c r="Z3" i="5"/>
  <c r="AG18" i="5"/>
  <c r="V65" i="5"/>
  <c r="AG10" i="5"/>
  <c r="Y8" i="5"/>
  <c r="V35" i="5"/>
  <c r="W14" i="5"/>
  <c r="W24" i="5"/>
  <c r="U56" i="5"/>
  <c r="X40" i="5"/>
  <c r="Y14" i="5"/>
  <c r="U48" i="5"/>
  <c r="Y44" i="5"/>
  <c r="AD5" i="5"/>
  <c r="W63" i="5"/>
  <c r="U34" i="5"/>
  <c r="AC31" i="5"/>
  <c r="Y33" i="5"/>
  <c r="AD29" i="5"/>
  <c r="AE37" i="5"/>
  <c r="AA37" i="5"/>
  <c r="Y15" i="5"/>
  <c r="AC10" i="5"/>
  <c r="AD30" i="5"/>
  <c r="AF36" i="5"/>
  <c r="AD40" i="5"/>
  <c r="AD26" i="5"/>
  <c r="Z20" i="5"/>
  <c r="AA3" i="5"/>
  <c r="Y62" i="5"/>
  <c r="AD8" i="5"/>
  <c r="AD7" i="5"/>
  <c r="AB44" i="5"/>
  <c r="X58" i="5"/>
  <c r="V19" i="5"/>
  <c r="Z47" i="5"/>
  <c r="AE55" i="5"/>
  <c r="V37" i="5"/>
  <c r="X59" i="5"/>
  <c r="X21" i="5"/>
  <c r="Y58" i="5"/>
  <c r="AD16" i="5"/>
  <c r="AD51" i="5"/>
  <c r="AD57" i="5"/>
  <c r="Z24" i="5"/>
  <c r="AG46" i="5"/>
  <c r="AA24" i="5"/>
  <c r="U64" i="5"/>
  <c r="V11" i="5"/>
  <c r="AG14" i="5"/>
  <c r="W54" i="5"/>
  <c r="AA23" i="5"/>
  <c r="AD4" i="5"/>
  <c r="AC44" i="5"/>
  <c r="AC8" i="5"/>
  <c r="W22" i="5"/>
  <c r="AE41" i="5"/>
  <c r="AF14" i="5"/>
  <c r="W44" i="5"/>
  <c r="AD31" i="5"/>
  <c r="AA35" i="5"/>
  <c r="AB56" i="5"/>
  <c r="AF27" i="5"/>
  <c r="AF23" i="5"/>
  <c r="AB4" i="5"/>
  <c r="U18" i="5"/>
  <c r="AB62" i="5"/>
  <c r="AF16" i="5"/>
  <c r="AB50" i="5"/>
  <c r="AA56" i="5"/>
  <c r="Y7" i="5"/>
  <c r="AB7" i="5"/>
  <c r="AD65" i="5"/>
  <c r="Y50" i="5"/>
  <c r="AA48" i="5"/>
  <c r="X42" i="5"/>
  <c r="X44" i="5"/>
  <c r="V54" i="5"/>
  <c r="AG53" i="5"/>
  <c r="AB57" i="5"/>
  <c r="V38" i="5"/>
  <c r="U14" i="5"/>
  <c r="AE26" i="5"/>
  <c r="W62" i="5"/>
  <c r="AA36" i="5"/>
  <c r="AD56" i="5"/>
  <c r="AB42" i="5"/>
  <c r="Y48" i="5"/>
  <c r="Z34" i="5"/>
  <c r="U6" i="5"/>
  <c r="V21" i="5"/>
  <c r="AG4" i="5"/>
  <c r="AB8" i="5"/>
  <c r="Z33" i="5"/>
  <c r="AD37" i="5"/>
  <c r="AB53" i="5"/>
  <c r="AE14" i="5"/>
  <c r="U49" i="5"/>
  <c r="V58" i="5"/>
  <c r="X43" i="5"/>
  <c r="AG20" i="5"/>
  <c r="W23" i="5"/>
  <c r="AD34" i="5"/>
  <c r="AF59" i="5"/>
  <c r="AF8" i="5"/>
  <c r="U35" i="5"/>
  <c r="AE65" i="5"/>
  <c r="W47" i="5"/>
  <c r="AC17" i="5"/>
  <c r="AD59" i="5"/>
  <c r="AG49" i="5"/>
  <c r="AG29" i="5"/>
  <c r="X53" i="5"/>
  <c r="AC51" i="5"/>
  <c r="Z18" i="5"/>
  <c r="AE24" i="5"/>
  <c r="V63" i="5"/>
  <c r="X15" i="5"/>
  <c r="AE60" i="5"/>
  <c r="X26" i="5"/>
  <c r="X60" i="5"/>
  <c r="Z46" i="5"/>
  <c r="AE13" i="5"/>
  <c r="AD35" i="5"/>
  <c r="AB47" i="5"/>
  <c r="Z21" i="5"/>
  <c r="U7" i="5"/>
  <c r="AE8" i="5"/>
  <c r="AB63" i="5"/>
  <c r="X33" i="5"/>
  <c r="U17" i="5"/>
  <c r="Y46" i="5"/>
  <c r="AF28" i="5"/>
  <c r="U25" i="5"/>
  <c r="AD32" i="5"/>
  <c r="Z54" i="5"/>
  <c r="AC34" i="5"/>
  <c r="AD17" i="5"/>
  <c r="X20" i="5"/>
  <c r="AD61" i="5"/>
  <c r="AB19" i="5"/>
  <c r="AF54" i="5"/>
  <c r="AB58" i="5"/>
  <c r="U62" i="5"/>
  <c r="X32" i="5"/>
  <c r="Z25" i="5"/>
  <c r="Y63" i="5"/>
  <c r="Z49" i="5"/>
  <c r="AC20" i="5"/>
  <c r="X38" i="5"/>
  <c r="V60" i="5"/>
  <c r="AC25" i="5"/>
  <c r="AC30" i="5"/>
  <c r="AG5" i="5"/>
  <c r="U26" i="5"/>
  <c r="U59" i="5"/>
  <c r="AC12" i="5"/>
  <c r="AD23" i="5"/>
  <c r="Z29" i="5"/>
  <c r="Y30" i="5"/>
  <c r="AB41" i="5"/>
  <c r="Z22" i="5"/>
  <c r="V43" i="5"/>
  <c r="X23" i="5"/>
  <c r="AF20" i="5"/>
  <c r="Z27" i="5"/>
  <c r="AB5" i="5"/>
  <c r="U63" i="5"/>
  <c r="V28" i="5"/>
  <c r="Y23" i="5"/>
  <c r="AB59" i="5"/>
  <c r="AB49" i="5"/>
  <c r="AG43" i="5"/>
  <c r="AF58" i="5"/>
  <c r="U15" i="5"/>
  <c r="AB37" i="5"/>
  <c r="AE30" i="5"/>
  <c r="V31" i="5"/>
  <c r="W40" i="5"/>
  <c r="AG21" i="5"/>
  <c r="AA52" i="5"/>
  <c r="Z45" i="5"/>
  <c r="W15" i="5"/>
  <c r="AC23" i="5"/>
  <c r="Y52" i="5"/>
  <c r="AE15" i="5"/>
  <c r="V47" i="5"/>
  <c r="AG25" i="5"/>
  <c r="U47" i="5"/>
  <c r="AC5" i="5"/>
  <c r="AB20" i="5"/>
  <c r="AC36" i="5"/>
  <c r="W48" i="5"/>
  <c r="AC50" i="5"/>
  <c r="X28" i="5"/>
  <c r="U19" i="5"/>
  <c r="AD53" i="5"/>
  <c r="Y17" i="5"/>
  <c r="AG63" i="5"/>
  <c r="AD15" i="5"/>
  <c r="AD9" i="5"/>
  <c r="AA39" i="5"/>
  <c r="Z12" i="5"/>
  <c r="AB36" i="5"/>
  <c r="AF48" i="5"/>
  <c r="Y61" i="5"/>
  <c r="AD44" i="5"/>
  <c r="AA30" i="5"/>
  <c r="W16" i="5"/>
  <c r="AA5" i="5"/>
  <c r="AD22" i="5"/>
  <c r="AE21" i="5"/>
  <c r="AB6" i="5"/>
  <c r="Z5" i="5"/>
  <c r="X52" i="5"/>
  <c r="AB14" i="5"/>
  <c r="U42" i="5"/>
  <c r="AF42" i="5"/>
  <c r="AG39" i="5"/>
  <c r="AB3" i="5"/>
  <c r="AG56" i="5"/>
  <c r="Y65" i="5"/>
  <c r="AE17" i="5"/>
  <c r="Y47" i="5"/>
  <c r="AG13" i="5"/>
  <c r="X65" i="5"/>
  <c r="AG65" i="5"/>
  <c r="AA51" i="5"/>
  <c r="U13" i="5"/>
  <c r="Y9" i="5"/>
  <c r="V5" i="5"/>
  <c r="AE48" i="5"/>
  <c r="AG33" i="5"/>
  <c r="AD39" i="5"/>
  <c r="Y24" i="5"/>
  <c r="AA33" i="5"/>
  <c r="X51" i="5"/>
  <c r="X25" i="5"/>
  <c r="AD42" i="5"/>
  <c r="U61" i="5"/>
  <c r="V53" i="5"/>
  <c r="Y26" i="5"/>
  <c r="AG58" i="5"/>
  <c r="AG7" i="5"/>
  <c r="W58" i="5"/>
  <c r="AD3" i="5"/>
  <c r="AG42" i="5"/>
  <c r="AA17" i="5"/>
  <c r="AF49" i="5"/>
  <c r="Y43" i="5"/>
  <c r="AA8" i="5"/>
  <c r="Y3" i="5"/>
  <c r="U23" i="5"/>
  <c r="AG44" i="5"/>
  <c r="Z37" i="5"/>
  <c r="AC60" i="5"/>
  <c r="V29" i="5"/>
  <c r="W17" i="5"/>
  <c r="X48" i="5"/>
  <c r="Z41" i="5"/>
  <c r="U21" i="5"/>
  <c r="W6" i="5"/>
  <c r="AC55" i="5"/>
  <c r="AE33" i="5"/>
  <c r="AF35" i="5"/>
  <c r="U37" i="5"/>
  <c r="AE32" i="5"/>
  <c r="Z64" i="5"/>
  <c r="U29" i="5"/>
  <c r="AF10" i="5"/>
  <c r="AG54" i="5"/>
  <c r="AG52" i="5"/>
  <c r="AG36" i="5"/>
  <c r="X12" i="5"/>
  <c r="Y31" i="5"/>
  <c r="AF25" i="5"/>
  <c r="V51" i="5"/>
  <c r="X63" i="5"/>
  <c r="AE27" i="5"/>
  <c r="AA46" i="5"/>
  <c r="X30" i="5"/>
  <c r="AB11" i="5"/>
  <c r="X4" i="5"/>
  <c r="AB12" i="5"/>
  <c r="V27" i="5"/>
  <c r="AE44" i="5"/>
  <c r="AC48" i="5"/>
  <c r="AG31" i="5"/>
  <c r="AC7" i="5"/>
  <c r="AG28" i="5"/>
  <c r="AF55" i="5"/>
  <c r="AD36" i="5"/>
  <c r="AC9" i="5"/>
  <c r="AA43" i="5"/>
  <c r="AE45" i="5"/>
  <c r="U50" i="5"/>
  <c r="W20" i="5"/>
  <c r="AG50" i="5"/>
  <c r="AD46" i="5"/>
  <c r="AC49" i="5"/>
  <c r="X57" i="5"/>
  <c r="AG15" i="5"/>
  <c r="AG64" i="5"/>
  <c r="W51" i="5"/>
  <c r="Y59" i="5"/>
  <c r="AG11" i="5"/>
  <c r="AF34" i="5"/>
  <c r="AE59" i="5"/>
  <c r="W31" i="5"/>
  <c r="U39" i="5"/>
  <c r="X9" i="5"/>
  <c r="U30" i="5"/>
  <c r="AE36" i="5"/>
  <c r="AC28" i="5"/>
  <c r="AD13" i="5"/>
  <c r="AA38" i="5"/>
  <c r="U55" i="5"/>
  <c r="AF65" i="5"/>
  <c r="AB43" i="5"/>
  <c r="AF5" i="5"/>
  <c r="Z43" i="5"/>
  <c r="Z52" i="5"/>
  <c r="Y18" i="5"/>
  <c r="W27" i="5"/>
  <c r="X55" i="5"/>
  <c r="W50" i="5"/>
  <c r="AD6" i="5"/>
  <c r="AF31" i="5"/>
  <c r="U16" i="5"/>
  <c r="AC59" i="5"/>
  <c r="AD25" i="5"/>
  <c r="AA11" i="5"/>
  <c r="AA64" i="5"/>
  <c r="U38" i="5"/>
  <c r="W7" i="5"/>
  <c r="Z15" i="5"/>
  <c r="X3" i="5"/>
  <c r="AB39" i="5"/>
  <c r="U28" i="5"/>
  <c r="Y21" i="5"/>
  <c r="U53" i="5"/>
  <c r="AA28" i="5"/>
  <c r="AE22" i="5"/>
  <c r="W11" i="5"/>
  <c r="AF33" i="5"/>
  <c r="W3" i="5"/>
  <c r="AF43" i="5"/>
  <c r="Y25" i="5"/>
  <c r="U3" i="5"/>
  <c r="AD21" i="5"/>
  <c r="AE34" i="5"/>
  <c r="Y29" i="5"/>
  <c r="AG57" i="5"/>
  <c r="W8" i="5"/>
  <c r="AG62" i="5"/>
  <c r="V3" i="5"/>
  <c r="W49" i="5"/>
  <c r="V22" i="5"/>
  <c r="AB22" i="5"/>
  <c r="U20" i="5"/>
  <c r="AD45" i="5"/>
  <c r="V64" i="5"/>
  <c r="U27" i="5"/>
  <c r="AE5" i="5"/>
  <c r="AD43" i="5"/>
  <c r="AG24" i="5"/>
  <c r="Z65" i="5"/>
  <c r="V55" i="5"/>
  <c r="AD49" i="5"/>
  <c r="AF7" i="5"/>
  <c r="AA59" i="5"/>
  <c r="V59" i="5"/>
  <c r="AD55" i="5"/>
  <c r="AG61" i="5"/>
  <c r="AA9" i="5"/>
  <c r="AA29" i="5"/>
  <c r="Z38" i="5"/>
  <c r="AE6" i="5"/>
  <c r="U46" i="5"/>
  <c r="AE29" i="5"/>
  <c r="Z9" i="5"/>
  <c r="AD38" i="5"/>
  <c r="W39" i="5"/>
  <c r="AG38" i="5"/>
  <c r="AG3" i="5"/>
  <c r="Y37" i="5"/>
  <c r="Z6" i="5"/>
  <c r="AB48" i="5"/>
  <c r="AF17" i="5"/>
  <c r="X6" i="5"/>
  <c r="AE7" i="5"/>
  <c r="U45" i="5"/>
  <c r="AF3" i="5"/>
  <c r="Z40" i="5"/>
  <c r="W9" i="5"/>
  <c r="AA53" i="5"/>
  <c r="AB46" i="5"/>
  <c r="AA41" i="5"/>
  <c r="AF53" i="5"/>
  <c r="AB15" i="5"/>
  <c r="AE23" i="5"/>
  <c r="AC3" i="5"/>
  <c r="Z32" i="5"/>
  <c r="Y55" i="5"/>
  <c r="W36" i="5"/>
  <c r="AF45" i="5"/>
  <c r="AA13" i="5"/>
  <c r="AC61" i="5"/>
  <c r="Z60" i="5"/>
  <c r="AE31" i="5"/>
  <c r="X64" i="5"/>
  <c r="Y12" i="5"/>
  <c r="AA26" i="5"/>
  <c r="AA54" i="5"/>
  <c r="V4" i="5"/>
  <c r="AD24" i="5"/>
  <c r="AA62" i="5"/>
  <c r="Z4" i="5"/>
  <c r="U66" i="5"/>
  <c r="U22" i="5"/>
  <c r="AG60" i="5"/>
  <c r="AB17" i="5"/>
  <c r="V45" i="5"/>
  <c r="AC41" i="5"/>
  <c r="Z16" i="5"/>
  <c r="AC29" i="5"/>
  <c r="AE47" i="5"/>
  <c r="X37" i="5"/>
  <c r="Y20" i="5"/>
  <c r="AA7" i="5"/>
  <c r="AD64" i="5"/>
  <c r="X61" i="5"/>
  <c r="AF50" i="5"/>
  <c r="W65" i="5"/>
  <c r="Z53" i="5"/>
  <c r="AC47" i="5"/>
  <c r="AE10" i="5"/>
  <c r="AE53" i="5"/>
  <c r="AA25" i="5"/>
  <c r="AB64" i="5"/>
  <c r="AF37" i="5"/>
  <c r="AA45" i="5"/>
  <c r="Z56" i="5"/>
  <c r="AE50" i="5"/>
  <c r="AD10" i="5"/>
  <c r="AG30" i="5"/>
  <c r="AE3" i="5"/>
  <c r="AB25" i="5"/>
  <c r="V56" i="5"/>
  <c r="U33" i="5"/>
  <c r="AE11" i="5"/>
  <c r="AF29" i="5"/>
  <c r="AE56" i="5"/>
  <c r="AC16" i="5"/>
  <c r="AE63" i="5"/>
  <c r="AA22" i="5"/>
  <c r="W46" i="5"/>
  <c r="V39" i="5"/>
  <c r="Z10" i="5"/>
  <c r="X13" i="5"/>
  <c r="X50" i="5"/>
  <c r="X47" i="5"/>
  <c r="AB9" i="5"/>
  <c r="Z28" i="5"/>
  <c r="Y32" i="5"/>
  <c r="Z23" i="5"/>
  <c r="AC35" i="5"/>
  <c r="U31" i="5"/>
  <c r="AF22" i="5"/>
  <c r="W19" i="5"/>
  <c r="V15" i="5"/>
  <c r="V52" i="5"/>
  <c r="AF64" i="5"/>
  <c r="AC40" i="5"/>
  <c r="AG17" i="5"/>
  <c r="W5" i="5"/>
  <c r="V34" i="5"/>
  <c r="AF38" i="5"/>
  <c r="AE39" i="5"/>
  <c r="U10" i="5"/>
  <c r="AG23" i="5"/>
  <c r="V8" i="5"/>
  <c r="U36" i="5"/>
  <c r="AF52" i="5"/>
  <c r="AE9" i="5"/>
  <c r="Y45" i="5"/>
  <c r="X18" i="5"/>
  <c r="X49" i="5"/>
  <c r="U8" i="5"/>
  <c r="AF13" i="5"/>
  <c r="AC18" i="5"/>
  <c r="AC43" i="5"/>
  <c r="AD52" i="5"/>
  <c r="Y13" i="5"/>
  <c r="V50" i="5"/>
  <c r="U60" i="5"/>
  <c r="AE49" i="5"/>
  <c r="W32" i="5"/>
  <c r="AG8" i="5"/>
  <c r="X8" i="5"/>
  <c r="AA4" i="5"/>
  <c r="AD28" i="5"/>
  <c r="AE35" i="5"/>
  <c r="AC54" i="5"/>
  <c r="W45" i="5"/>
  <c r="Z59" i="5"/>
  <c r="AF51" i="5"/>
  <c r="W57" i="5"/>
  <c r="W18" i="5"/>
  <c r="Z30" i="5"/>
  <c r="Y53" i="5"/>
  <c r="V33" i="5"/>
  <c r="W43" i="5"/>
  <c r="V16" i="5"/>
  <c r="AA27" i="5"/>
  <c r="AF26" i="5"/>
  <c r="AD50" i="5"/>
  <c r="V42" i="5"/>
  <c r="AD18" i="5"/>
  <c r="Y42" i="5"/>
  <c r="X45" i="5"/>
  <c r="AC4" i="5"/>
  <c r="AD33" i="5"/>
  <c r="AC11" i="5"/>
  <c r="AC38" i="5"/>
  <c r="AE43" i="5"/>
  <c r="Y40" i="5"/>
  <c r="Z44" i="5"/>
  <c r="W33" i="5"/>
  <c r="AE61" i="5"/>
  <c r="W41" i="5"/>
  <c r="X56" i="5"/>
  <c r="AE19" i="5"/>
  <c r="AF6" i="5"/>
  <c r="AC62" i="5"/>
  <c r="U54" i="5"/>
  <c r="AF62" i="5"/>
  <c r="AB61" i="5"/>
  <c r="Z11" i="5"/>
  <c r="AB23" i="5"/>
  <c r="W61" i="5"/>
  <c r="W56" i="5"/>
  <c r="Y54" i="5"/>
  <c r="V17" i="5"/>
  <c r="AC33" i="5"/>
  <c r="AA40" i="5"/>
  <c r="AE16" i="5"/>
  <c r="U43" i="5"/>
  <c r="Z13" i="5"/>
  <c r="AG27" i="5"/>
  <c r="W38" i="5"/>
  <c r="V14" i="5"/>
  <c r="AA18" i="5"/>
  <c r="V26" i="5"/>
  <c r="AC6" i="5"/>
  <c r="V25" i="5"/>
  <c r="AD54" i="5"/>
  <c r="AE40" i="5"/>
  <c r="X36" i="5"/>
  <c r="AB30" i="5"/>
  <c r="W25" i="5"/>
  <c r="AB34" i="5"/>
  <c r="AB26" i="5"/>
  <c r="U11" i="5"/>
  <c r="AB65" i="5"/>
  <c r="AF46" i="5"/>
  <c r="AC56" i="5"/>
  <c r="Y60" i="5"/>
  <c r="V49" i="5"/>
  <c r="U9" i="5"/>
  <c r="Y38" i="5"/>
  <c r="AD41" i="5"/>
  <c r="V41" i="5"/>
  <c r="AD60" i="5"/>
  <c r="AD27" i="5"/>
  <c r="AB45" i="5"/>
  <c r="U12" i="5"/>
  <c r="X16" i="5"/>
  <c r="AF60" i="5"/>
  <c r="AD63" i="5"/>
  <c r="AB29" i="5"/>
  <c r="AB10" i="5"/>
  <c r="AG6" i="5"/>
  <c r="AA32" i="5"/>
  <c r="Z8" i="5"/>
  <c r="AE42" i="5"/>
  <c r="AA12" i="5"/>
  <c r="AF57" i="5"/>
  <c r="Z36" i="5"/>
  <c r="AD14" i="5"/>
  <c r="Z39" i="5"/>
  <c r="AF40" i="5"/>
  <c r="X17" i="5"/>
  <c r="Z7" i="5"/>
  <c r="AD62" i="5"/>
  <c r="AB54" i="5"/>
  <c r="AG55" i="5"/>
  <c r="V7" i="5"/>
  <c r="AG26" i="5"/>
  <c r="U4" i="5"/>
  <c r="AG35" i="5"/>
  <c r="AC27" i="5"/>
  <c r="AC42" i="5"/>
  <c r="Y49" i="5"/>
  <c r="AE51" i="5"/>
  <c r="AG34" i="5"/>
  <c r="V48" i="5"/>
  <c r="AF4" i="5"/>
  <c r="AC53" i="5"/>
  <c r="X19" i="5"/>
  <c r="X31" i="5"/>
  <c r="Z50" i="5"/>
  <c r="Z31" i="5"/>
  <c r="W10" i="5"/>
  <c r="Z42" i="5"/>
  <c r="AB51" i="5"/>
  <c r="AG19" i="5"/>
  <c r="Y56" i="5"/>
  <c r="B22" i="5" l="1"/>
  <c r="E17" i="1" s="1"/>
  <c r="Y67" i="2"/>
  <c r="AA48" i="2"/>
  <c r="AB48" i="2"/>
  <c r="AA46" i="2"/>
  <c r="AB46" i="2"/>
  <c r="AA26" i="2"/>
  <c r="AB26" i="2"/>
  <c r="S4" i="2"/>
  <c r="W4" i="2" s="1"/>
  <c r="AB5" i="2"/>
  <c r="AA5" i="2"/>
  <c r="Z5" i="2"/>
  <c r="AB4" i="2"/>
  <c r="AA4" i="2"/>
  <c r="Z4" i="2"/>
  <c r="AB6" i="2"/>
  <c r="AA6" i="2"/>
  <c r="Z6" i="2"/>
  <c r="AA25" i="2"/>
  <c r="Z25" i="2"/>
  <c r="AB25" i="2"/>
  <c r="AB66" i="2"/>
  <c r="AA66" i="2"/>
  <c r="Z66" i="2"/>
  <c r="AB65" i="2"/>
  <c r="AA65" i="2"/>
  <c r="Z65" i="2"/>
  <c r="AB64" i="2"/>
  <c r="AA64" i="2"/>
  <c r="Z64" i="2"/>
  <c r="AB63" i="2"/>
  <c r="Z63" i="2"/>
  <c r="AA63" i="2"/>
  <c r="AA61" i="2"/>
  <c r="Z61" i="2"/>
  <c r="AB61" i="2"/>
  <c r="AB60" i="2"/>
  <c r="AA60" i="2"/>
  <c r="Z60" i="2"/>
  <c r="AB59" i="2"/>
  <c r="AA59" i="2"/>
  <c r="Z59" i="2"/>
  <c r="Z58" i="2"/>
  <c r="AA58" i="2"/>
  <c r="AB58" i="2"/>
  <c r="AA57" i="2"/>
  <c r="Z57" i="2"/>
  <c r="AB57" i="2"/>
  <c r="Z56" i="2"/>
  <c r="AB56" i="2"/>
  <c r="AA56" i="2"/>
  <c r="AA55" i="2"/>
  <c r="Z55" i="2"/>
  <c r="AB55" i="2"/>
  <c r="AB54" i="2"/>
  <c r="AA54" i="2"/>
  <c r="Z54" i="2"/>
  <c r="AA53" i="2"/>
  <c r="Z53" i="2"/>
  <c r="AB53" i="2"/>
  <c r="AB52" i="2"/>
  <c r="AA52" i="2"/>
  <c r="Z52" i="2"/>
  <c r="Z51" i="2"/>
  <c r="AB51" i="2"/>
  <c r="AA51" i="2"/>
  <c r="AB50" i="2"/>
  <c r="AA50" i="2"/>
  <c r="Z50" i="2"/>
  <c r="Z49" i="2"/>
  <c r="AB49" i="2"/>
  <c r="AA49" i="2"/>
  <c r="Z48" i="2"/>
  <c r="Z47" i="2"/>
  <c r="AB47" i="2"/>
  <c r="AA47" i="2"/>
  <c r="Z46" i="2"/>
  <c r="AB45" i="2"/>
  <c r="Z45" i="2"/>
  <c r="AA45" i="2"/>
  <c r="AB44" i="2"/>
  <c r="AA44" i="2"/>
  <c r="Z44" i="2"/>
  <c r="Z42" i="2"/>
  <c r="AB42" i="2"/>
  <c r="AA42" i="2"/>
  <c r="AA41" i="2"/>
  <c r="Z41" i="2"/>
  <c r="AB41" i="2"/>
  <c r="AA38" i="2"/>
  <c r="AB38" i="2"/>
  <c r="Z38" i="2"/>
  <c r="AB39" i="2"/>
  <c r="AA39" i="2"/>
  <c r="Z39" i="2"/>
  <c r="AA36" i="2"/>
  <c r="Z36" i="2"/>
  <c r="AB36" i="2"/>
  <c r="AA35" i="2"/>
  <c r="Z35" i="2"/>
  <c r="AB35" i="2"/>
  <c r="Z34" i="2"/>
  <c r="AB34" i="2"/>
  <c r="AA34" i="2"/>
  <c r="Z33" i="2"/>
  <c r="AA33" i="2"/>
  <c r="AB33" i="2"/>
  <c r="AA32" i="2"/>
  <c r="AB32" i="2"/>
  <c r="Z32" i="2"/>
  <c r="AB31" i="2"/>
  <c r="AA31" i="2"/>
  <c r="Z31" i="2"/>
  <c r="Z30" i="2"/>
  <c r="AB30" i="2"/>
  <c r="AA30" i="2"/>
  <c r="AA29" i="2"/>
  <c r="Z29" i="2"/>
  <c r="AB29" i="2"/>
  <c r="AA28" i="2"/>
  <c r="Z28" i="2"/>
  <c r="AB28" i="2"/>
  <c r="AA27" i="2"/>
  <c r="Z27" i="2"/>
  <c r="AB27" i="2"/>
  <c r="AA23" i="2"/>
  <c r="Z23" i="2"/>
  <c r="AB23" i="2"/>
  <c r="AA22" i="2"/>
  <c r="Z22" i="2"/>
  <c r="AB22" i="2"/>
  <c r="AB21" i="2"/>
  <c r="AA21" i="2"/>
  <c r="Z21" i="2"/>
  <c r="AA20" i="2"/>
  <c r="Z20" i="2"/>
  <c r="AB20" i="2"/>
  <c r="AA19" i="2"/>
  <c r="Z19" i="2"/>
  <c r="AB19" i="2"/>
  <c r="AA18" i="2"/>
  <c r="AB18" i="2"/>
  <c r="Z18" i="2"/>
  <c r="AA16" i="2"/>
  <c r="Z16" i="2"/>
  <c r="AB16" i="2"/>
  <c r="AB15" i="2"/>
  <c r="AA15" i="2"/>
  <c r="Z15" i="2"/>
  <c r="Z14" i="2"/>
  <c r="AB14" i="2"/>
  <c r="AA14" i="2"/>
  <c r="Z13" i="2"/>
  <c r="AA13" i="2"/>
  <c r="AB13" i="2"/>
  <c r="AB12" i="2"/>
  <c r="AA12" i="2"/>
  <c r="Z12" i="2"/>
  <c r="AA11" i="2"/>
  <c r="Z11" i="2"/>
  <c r="AB11" i="2"/>
  <c r="Z10" i="2"/>
  <c r="AB10" i="2"/>
  <c r="AA10" i="2"/>
  <c r="Z9" i="2"/>
  <c r="AA9" i="2"/>
  <c r="AB9" i="2"/>
  <c r="AA8" i="2"/>
  <c r="Z8" i="2"/>
  <c r="AB8" i="2"/>
  <c r="AA7" i="2"/>
  <c r="Z7" i="2"/>
  <c r="AB7" i="2"/>
  <c r="Z26" i="2"/>
  <c r="R6" i="2"/>
  <c r="R7" i="2"/>
  <c r="T7" i="2" s="1"/>
  <c r="R8" i="2"/>
  <c r="T8" i="2" s="1"/>
  <c r="R9" i="2"/>
  <c r="T9" i="2" s="1"/>
  <c r="R10" i="2"/>
  <c r="T10" i="2" s="1"/>
  <c r="R11" i="2"/>
  <c r="T11" i="2" s="1"/>
  <c r="R12" i="2"/>
  <c r="T12" i="2" s="1"/>
  <c r="R13" i="2"/>
  <c r="T13" i="2" s="1"/>
  <c r="R14" i="2"/>
  <c r="T14" i="2" s="1"/>
  <c r="R15" i="2"/>
  <c r="T15" i="2" s="1"/>
  <c r="R16" i="2"/>
  <c r="T16" i="2" s="1"/>
  <c r="R18" i="2"/>
  <c r="T18" i="2" s="1"/>
  <c r="R19" i="2"/>
  <c r="T19" i="2" s="1"/>
  <c r="R20" i="2"/>
  <c r="T20" i="2" s="1"/>
  <c r="R21" i="2"/>
  <c r="T21" i="2" s="1"/>
  <c r="R22" i="2"/>
  <c r="T22" i="2" s="1"/>
  <c r="R23" i="2"/>
  <c r="T23" i="2" s="1"/>
  <c r="R25" i="2"/>
  <c r="T25" i="2" s="1"/>
  <c r="R26" i="2"/>
  <c r="T26" i="2" s="1"/>
  <c r="R27" i="2"/>
  <c r="T27" i="2" s="1"/>
  <c r="R28" i="2"/>
  <c r="R29" i="2"/>
  <c r="T29" i="2" s="1"/>
  <c r="R30" i="2"/>
  <c r="T30" i="2" s="1"/>
  <c r="R31" i="2"/>
  <c r="T31" i="2" s="1"/>
  <c r="R32" i="2"/>
  <c r="T32" i="2" s="1"/>
  <c r="R33" i="2"/>
  <c r="T33" i="2" s="1"/>
  <c r="R34" i="2"/>
  <c r="T34" i="2" s="1"/>
  <c r="R35" i="2"/>
  <c r="T35" i="2" s="1"/>
  <c r="R36" i="2"/>
  <c r="T36" i="2" s="1"/>
  <c r="R38" i="2"/>
  <c r="T38" i="2" s="1"/>
  <c r="R39" i="2"/>
  <c r="T39" i="2" s="1"/>
  <c r="R41" i="2"/>
  <c r="T41" i="2" s="1"/>
  <c r="R42" i="2"/>
  <c r="T42" i="2" s="1"/>
  <c r="R44" i="2"/>
  <c r="T44" i="2" s="1"/>
  <c r="R45" i="2"/>
  <c r="T45" i="2" s="1"/>
  <c r="R46" i="2"/>
  <c r="T46" i="2" s="1"/>
  <c r="R47" i="2"/>
  <c r="T47" i="2" s="1"/>
  <c r="R48" i="2"/>
  <c r="T48" i="2" s="1"/>
  <c r="R49" i="2"/>
  <c r="T49" i="2" s="1"/>
  <c r="R50" i="2"/>
  <c r="T50" i="2" s="1"/>
  <c r="R51" i="2"/>
  <c r="T51" i="2" s="1"/>
  <c r="R52" i="2"/>
  <c r="T52" i="2" s="1"/>
  <c r="R53" i="2"/>
  <c r="T53" i="2" s="1"/>
  <c r="R54" i="2"/>
  <c r="T54" i="2" s="1"/>
  <c r="R55" i="2"/>
  <c r="T55" i="2" s="1"/>
  <c r="R56" i="2"/>
  <c r="T56" i="2" s="1"/>
  <c r="R57" i="2"/>
  <c r="T57" i="2" s="1"/>
  <c r="R58" i="2"/>
  <c r="T58" i="2" s="1"/>
  <c r="R59" i="2"/>
  <c r="T59" i="2" s="1"/>
  <c r="R60" i="2"/>
  <c r="T60" i="2" s="1"/>
  <c r="R61" i="2"/>
  <c r="T61" i="2" s="1"/>
  <c r="R63" i="2"/>
  <c r="T63" i="2" s="1"/>
  <c r="R64" i="2"/>
  <c r="T64" i="2" s="1"/>
  <c r="R65" i="2"/>
  <c r="T65" i="2" s="1"/>
  <c r="R66" i="2"/>
  <c r="T66" i="2" s="1"/>
  <c r="AB67" i="2" l="1"/>
  <c r="Z67" i="2"/>
  <c r="AA67" i="2"/>
  <c r="T28" i="2"/>
  <c r="T67" i="2" s="1"/>
  <c r="R67" i="2"/>
  <c r="AC51" i="2"/>
  <c r="AC60" i="2"/>
  <c r="AC46" i="2"/>
  <c r="AC28" i="2"/>
  <c r="AC53" i="2"/>
  <c r="AC48" i="2"/>
  <c r="AC31" i="2"/>
  <c r="AC19" i="2"/>
  <c r="AC38" i="2"/>
  <c r="AC52" i="2"/>
  <c r="AC27" i="2"/>
  <c r="AC44" i="2"/>
  <c r="AC57" i="2"/>
  <c r="AC9" i="2"/>
  <c r="AC4" i="2"/>
  <c r="AC8" i="2"/>
  <c r="AC5" i="2"/>
  <c r="T6" i="2"/>
  <c r="AC6" i="2"/>
  <c r="AC15" i="2"/>
  <c r="AC12" i="2"/>
  <c r="AC11" i="2"/>
  <c r="AC25" i="2"/>
  <c r="AC66" i="2"/>
  <c r="AC65" i="2"/>
  <c r="AC64" i="2"/>
  <c r="AC63" i="2"/>
  <c r="AC61" i="2"/>
  <c r="AC59" i="2"/>
  <c r="AC58" i="2"/>
  <c r="AC56" i="2"/>
  <c r="AC55" i="2"/>
  <c r="AC54" i="2"/>
  <c r="AC50" i="2"/>
  <c r="AC49" i="2"/>
  <c r="AC47" i="2"/>
  <c r="AC45" i="2"/>
  <c r="AC42" i="2"/>
  <c r="AC41" i="2"/>
  <c r="AC39" i="2"/>
  <c r="AC36" i="2"/>
  <c r="AC35" i="2"/>
  <c r="AC34" i="2"/>
  <c r="AC33" i="2"/>
  <c r="AC32" i="2"/>
  <c r="AC30" i="2"/>
  <c r="AC29" i="2"/>
  <c r="AC23" i="2"/>
  <c r="AC22" i="2"/>
  <c r="AC21" i="2"/>
  <c r="AC20" i="2"/>
  <c r="AC18" i="2"/>
  <c r="AC16" i="2"/>
  <c r="AC14" i="2"/>
  <c r="AC13" i="2"/>
  <c r="AC10" i="2"/>
  <c r="AC7" i="2"/>
  <c r="AC26" i="2"/>
  <c r="Q5" i="2"/>
  <c r="S5" i="2" s="1"/>
  <c r="Q6" i="2"/>
  <c r="Q7" i="2"/>
  <c r="Q8" i="2"/>
  <c r="Q9" i="2"/>
  <c r="Q10" i="2"/>
  <c r="Q11" i="2"/>
  <c r="Q12" i="2"/>
  <c r="Q13" i="2"/>
  <c r="Q14" i="2"/>
  <c r="Q15" i="2"/>
  <c r="Q16" i="2"/>
  <c r="Q18" i="2"/>
  <c r="Q19" i="2"/>
  <c r="B3" i="5" s="1"/>
  <c r="Q20" i="2"/>
  <c r="Q21" i="2"/>
  <c r="Q22" i="2"/>
  <c r="Q23" i="2"/>
  <c r="Q25" i="2"/>
  <c r="Q26" i="2"/>
  <c r="U26" i="2" s="1"/>
  <c r="Q27" i="2"/>
  <c r="Q28" i="2"/>
  <c r="S28" i="2" s="1"/>
  <c r="Q29" i="2"/>
  <c r="Q30" i="2"/>
  <c r="Q31" i="2"/>
  <c r="Q32" i="2"/>
  <c r="Q33" i="2"/>
  <c r="Q34" i="2"/>
  <c r="Q35" i="2"/>
  <c r="Q36" i="2"/>
  <c r="Q38" i="2"/>
  <c r="Q39" i="2"/>
  <c r="Q41" i="2"/>
  <c r="Q42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3" i="2"/>
  <c r="Q64" i="2"/>
  <c r="Q65" i="2"/>
  <c r="Q66" i="2"/>
  <c r="AC67" i="2" l="1"/>
  <c r="V48" i="2"/>
  <c r="U48" i="2"/>
  <c r="U46" i="2"/>
  <c r="V46" i="2"/>
  <c r="V6" i="2"/>
  <c r="U6" i="2"/>
  <c r="S6" i="2"/>
  <c r="V5" i="2"/>
  <c r="U5" i="2"/>
  <c r="S25" i="2"/>
  <c r="V25" i="2"/>
  <c r="U25" i="2"/>
  <c r="S66" i="2"/>
  <c r="V66" i="2"/>
  <c r="U66" i="2"/>
  <c r="U65" i="2"/>
  <c r="V65" i="2"/>
  <c r="S65" i="2"/>
  <c r="S64" i="2"/>
  <c r="V64" i="2"/>
  <c r="U64" i="2"/>
  <c r="V63" i="2"/>
  <c r="U63" i="2"/>
  <c r="S63" i="2"/>
  <c r="U61" i="2"/>
  <c r="V61" i="2"/>
  <c r="S61" i="2"/>
  <c r="S60" i="2"/>
  <c r="V60" i="2"/>
  <c r="U60" i="2"/>
  <c r="V59" i="2"/>
  <c r="S59" i="2"/>
  <c r="U59" i="2"/>
  <c r="V58" i="2"/>
  <c r="U58" i="2"/>
  <c r="S58" i="2"/>
  <c r="V57" i="2"/>
  <c r="U57" i="2"/>
  <c r="S57" i="2"/>
  <c r="S56" i="2"/>
  <c r="V56" i="2"/>
  <c r="U56" i="2"/>
  <c r="S55" i="2"/>
  <c r="U55" i="2"/>
  <c r="V55" i="2"/>
  <c r="U54" i="2"/>
  <c r="S54" i="2"/>
  <c r="V54" i="2"/>
  <c r="U53" i="2"/>
  <c r="S53" i="2"/>
  <c r="V53" i="2"/>
  <c r="V52" i="2"/>
  <c r="S52" i="2"/>
  <c r="U52" i="2"/>
  <c r="U51" i="2"/>
  <c r="S51" i="2"/>
  <c r="V51" i="2"/>
  <c r="V50" i="2"/>
  <c r="U50" i="2"/>
  <c r="S50" i="2"/>
  <c r="V49" i="2"/>
  <c r="S49" i="2"/>
  <c r="U49" i="2"/>
  <c r="S48" i="2"/>
  <c r="U47" i="2"/>
  <c r="V47" i="2"/>
  <c r="S47" i="2"/>
  <c r="S46" i="2"/>
  <c r="U45" i="2"/>
  <c r="S45" i="2"/>
  <c r="V45" i="2"/>
  <c r="V44" i="2"/>
  <c r="U44" i="2"/>
  <c r="S44" i="2"/>
  <c r="V42" i="2"/>
  <c r="S42" i="2"/>
  <c r="U42" i="2"/>
  <c r="U41" i="2"/>
  <c r="V41" i="2"/>
  <c r="S41" i="2"/>
  <c r="S39" i="2"/>
  <c r="V39" i="2"/>
  <c r="U39" i="2"/>
  <c r="U38" i="2"/>
  <c r="S38" i="2"/>
  <c r="V38" i="2"/>
  <c r="V36" i="2"/>
  <c r="U36" i="2"/>
  <c r="S36" i="2"/>
  <c r="U35" i="2"/>
  <c r="S35" i="2"/>
  <c r="V35" i="2"/>
  <c r="V34" i="2"/>
  <c r="U34" i="2"/>
  <c r="S34" i="2"/>
  <c r="V33" i="2"/>
  <c r="S33" i="2"/>
  <c r="U33" i="2"/>
  <c r="U32" i="2"/>
  <c r="V32" i="2"/>
  <c r="S32" i="2"/>
  <c r="V31" i="2"/>
  <c r="S31" i="2"/>
  <c r="U31" i="2"/>
  <c r="S30" i="2"/>
  <c r="V30" i="2"/>
  <c r="U30" i="2"/>
  <c r="S29" i="2"/>
  <c r="V29" i="2"/>
  <c r="U29" i="2"/>
  <c r="U28" i="2"/>
  <c r="V28" i="2"/>
  <c r="S27" i="2"/>
  <c r="U27" i="2"/>
  <c r="V27" i="2"/>
  <c r="S23" i="2"/>
  <c r="V23" i="2"/>
  <c r="U23" i="2"/>
  <c r="S22" i="2"/>
  <c r="U22" i="2"/>
  <c r="V22" i="2"/>
  <c r="V21" i="2"/>
  <c r="U21" i="2"/>
  <c r="S21" i="2"/>
  <c r="S20" i="2"/>
  <c r="V20" i="2"/>
  <c r="U20" i="2"/>
  <c r="U19" i="2"/>
  <c r="V19" i="2"/>
  <c r="S19" i="2"/>
  <c r="V18" i="2"/>
  <c r="U18" i="2"/>
  <c r="S18" i="2"/>
  <c r="V16" i="2"/>
  <c r="U16" i="2"/>
  <c r="S16" i="2"/>
  <c r="V15" i="2"/>
  <c r="U15" i="2"/>
  <c r="S15" i="2"/>
  <c r="S14" i="2"/>
  <c r="V14" i="2"/>
  <c r="U14" i="2"/>
  <c r="V13" i="2"/>
  <c r="U13" i="2"/>
  <c r="S13" i="2"/>
  <c r="V12" i="2"/>
  <c r="S12" i="2"/>
  <c r="U12" i="2"/>
  <c r="U11" i="2"/>
  <c r="V11" i="2"/>
  <c r="S11" i="2"/>
  <c r="S10" i="2"/>
  <c r="V10" i="2"/>
  <c r="U10" i="2"/>
  <c r="V9" i="2"/>
  <c r="U9" i="2"/>
  <c r="S9" i="2"/>
  <c r="V8" i="2"/>
  <c r="S8" i="2"/>
  <c r="U8" i="2"/>
  <c r="U7" i="2"/>
  <c r="S7" i="2"/>
  <c r="V7" i="2"/>
  <c r="V26" i="2"/>
  <c r="S26" i="2"/>
  <c r="S67" i="2" l="1"/>
  <c r="U67" i="2"/>
  <c r="V67" i="2"/>
  <c r="W31" i="2"/>
  <c r="W41" i="2"/>
  <c r="W65" i="2"/>
  <c r="W57" i="2"/>
  <c r="W54" i="2"/>
  <c r="W63" i="2"/>
  <c r="W6" i="2"/>
  <c r="W60" i="2"/>
  <c r="W33" i="2"/>
  <c r="W39" i="2"/>
  <c r="W55" i="2"/>
  <c r="W53" i="2"/>
  <c r="W25" i="2"/>
  <c r="W14" i="2"/>
  <c r="W20" i="2"/>
  <c r="W51" i="2"/>
  <c r="W42" i="2"/>
  <c r="W49" i="2"/>
  <c r="W32" i="2"/>
  <c r="W46" i="2"/>
  <c r="W15" i="2"/>
  <c r="W5" i="2"/>
  <c r="W11" i="2"/>
  <c r="W66" i="2"/>
  <c r="W64" i="2"/>
  <c r="W61" i="2"/>
  <c r="W59" i="2"/>
  <c r="W58" i="2"/>
  <c r="W56" i="2"/>
  <c r="W52" i="2"/>
  <c r="W50" i="2"/>
  <c r="W48" i="2"/>
  <c r="W47" i="2"/>
  <c r="W45" i="2"/>
  <c r="W44" i="2"/>
  <c r="W38" i="2"/>
  <c r="W36" i="2"/>
  <c r="W35" i="2"/>
  <c r="W34" i="2"/>
  <c r="W30" i="2"/>
  <c r="W29" i="2"/>
  <c r="W28" i="2"/>
  <c r="W27" i="2"/>
  <c r="W23" i="2"/>
  <c r="W22" i="2"/>
  <c r="W21" i="2"/>
  <c r="W19" i="2"/>
  <c r="W18" i="2"/>
  <c r="W16" i="2"/>
  <c r="W13" i="2"/>
  <c r="W12" i="2"/>
  <c r="W10" i="2"/>
  <c r="W9" i="2"/>
  <c r="W8" i="2"/>
  <c r="W7" i="2"/>
  <c r="W26" i="2"/>
  <c r="W67" i="2" l="1"/>
  <c r="A58" i="2"/>
  <c r="A12" i="2"/>
  <c r="A15" i="2" l="1"/>
  <c r="A14" i="2"/>
  <c r="A13" i="2"/>
  <c r="A11" i="2"/>
  <c r="A10" i="2"/>
  <c r="B53" i="1" l="1"/>
  <c r="A23" i="2"/>
  <c r="A22" i="2"/>
  <c r="A21" i="2"/>
  <c r="A20" i="2"/>
  <c r="A19" i="2"/>
  <c r="A18" i="2"/>
  <c r="A47" i="2"/>
  <c r="A59" i="2" l="1"/>
  <c r="B52" i="1" l="1"/>
  <c r="A210" i="4"/>
  <c r="B170" i="4"/>
  <c r="B169" i="4"/>
  <c r="B162" i="4"/>
  <c r="B161" i="4"/>
  <c r="B160" i="4"/>
  <c r="B154" i="4"/>
  <c r="B118" i="4"/>
  <c r="A57" i="2" l="1"/>
  <c r="A56" i="2"/>
  <c r="A55" i="2"/>
  <c r="A51" i="2"/>
  <c r="A52" i="2"/>
  <c r="A53" i="2"/>
  <c r="A54" i="2"/>
  <c r="A66" i="2" l="1"/>
  <c r="A65" i="2"/>
  <c r="A64" i="2"/>
  <c r="A63" i="2"/>
  <c r="A61" i="2"/>
  <c r="A60" i="2"/>
  <c r="A50" i="2"/>
  <c r="A49" i="2"/>
  <c r="A48" i="2"/>
  <c r="A46" i="2"/>
  <c r="A45" i="2"/>
  <c r="A44" i="2"/>
  <c r="A42" i="2"/>
  <c r="A41" i="2"/>
  <c r="A39" i="2"/>
  <c r="A38" i="2"/>
  <c r="A36" i="2"/>
  <c r="A35" i="2"/>
  <c r="A34" i="2"/>
  <c r="A33" i="2"/>
  <c r="A32" i="2"/>
  <c r="A31" i="2"/>
  <c r="A30" i="2"/>
  <c r="A29" i="2"/>
  <c r="A28" i="2"/>
  <c r="A27" i="2"/>
  <c r="A26" i="2"/>
  <c r="A25" i="2"/>
  <c r="A16" i="2"/>
  <c r="A9" i="2"/>
  <c r="A8" i="2"/>
  <c r="A7" i="2"/>
  <c r="A6" i="2"/>
  <c r="A5" i="2"/>
  <c r="A4" i="2"/>
  <c r="C190" i="4" l="1"/>
  <c r="C189" i="4"/>
  <c r="C188" i="4"/>
  <c r="C187" i="4"/>
  <c r="C186" i="4"/>
  <c r="C185" i="4"/>
  <c r="C184" i="4"/>
  <c r="C183" i="4"/>
  <c r="C182" i="4"/>
  <c r="C181" i="4"/>
  <c r="C180" i="4"/>
  <c r="B190" i="4"/>
  <c r="B189" i="4"/>
  <c r="B188" i="4"/>
  <c r="B187" i="4"/>
  <c r="B186" i="4"/>
  <c r="B185" i="4"/>
  <c r="B184" i="4"/>
  <c r="B183" i="4"/>
  <c r="B182" i="4"/>
  <c r="B181" i="4"/>
  <c r="B18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Bruns, Emily (ECY)</author>
  </authors>
  <commentList>
    <comment ref="B20" authorId="0" shapeId="0" xr:uid="{00000000-0006-0000-0000-000001000000}">
      <text>
        <r>
          <rPr>
            <sz val="9"/>
            <color indexed="81"/>
            <rFont val="Tahoma"/>
            <family val="2"/>
          </rPr>
          <t>6-digit number starting with 75 assigned by Ecology.  Contact Ecology if you do not know your GHGRPID.</t>
        </r>
      </text>
    </comment>
    <comment ref="F29" authorId="0" shapeId="0" xr:uid="{00000000-0006-0000-0000-000002000000}">
      <text>
        <r>
          <rPr>
            <sz val="9"/>
            <color indexed="81"/>
            <rFont val="Tahoma"/>
            <family val="2"/>
          </rPr>
          <t>As of December 31 of the year for which data are being reported.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Colgan, Kimberly (ECY)</author>
    <author>Caudill, Neil (ECY)</author>
  </authors>
  <commentList>
    <comment ref="O46" authorId="0" shapeId="0" xr:uid="{003B5EF2-1360-41C3-BB1B-55D9A852468E}">
      <text>
        <r>
          <rPr>
            <sz val="9"/>
            <color indexed="81"/>
            <rFont val="Tahoma"/>
            <family val="2"/>
          </rPr>
          <t xml:space="preserve">Lubricants are assumed to be combusted or oxidized. See interim guidance. </t>
        </r>
      </text>
    </comment>
    <comment ref="X49" authorId="1" shapeId="0" xr:uid="{00000000-0006-0000-0100-000001000000}">
      <text>
        <r>
          <rPr>
            <sz val="9"/>
            <color indexed="81"/>
            <rFont val="Tahoma"/>
            <family val="2"/>
          </rPr>
          <t>CCA exempt: assumed not combusted.</t>
        </r>
      </text>
    </comment>
    <comment ref="Y49" authorId="1" shapeId="0" xr:uid="{00000000-0006-0000-0100-000002000000}">
      <text>
        <r>
          <rPr>
            <sz val="9"/>
            <color indexed="81"/>
            <rFont val="Tahoma"/>
            <family val="2"/>
          </rPr>
          <t>CCA exempt: assumed not combusted.</t>
        </r>
      </text>
    </comment>
  </commentList>
</comments>
</file>

<file path=xl/sharedStrings.xml><?xml version="1.0" encoding="utf-8"?>
<sst xmlns="http://schemas.openxmlformats.org/spreadsheetml/2006/main" count="460" uniqueCount="317">
  <si>
    <t>Instructions</t>
  </si>
  <si>
    <t>Version</t>
  </si>
  <si>
    <t>External links</t>
  </si>
  <si>
    <t>Fuel type</t>
  </si>
  <si>
    <t>Coal and Coke (All fuel types in Table C-1)</t>
  </si>
  <si>
    <t>Natural Gas</t>
  </si>
  <si>
    <t>Petroleum Products (All fuel types in Table C-1)</t>
  </si>
  <si>
    <t>Fuel Gas</t>
  </si>
  <si>
    <t>Other Fuels—Solid</t>
  </si>
  <si>
    <t>Blast Furnace Gas</t>
  </si>
  <si>
    <t>Coke Oven Gas</t>
  </si>
  <si>
    <t>Biomass Fuels—Solid (All fuel types in Table C-1, except wood and wood residuals)</t>
  </si>
  <si>
    <t>Wood and wood residuals</t>
  </si>
  <si>
    <t>Biomass Fuels—Gaseous (All fuel types in Table C-1)</t>
  </si>
  <si>
    <t>Biomass Fuels—Liquid (All fuel types in Table C-1)</t>
  </si>
  <si>
    <r>
      <t>Table C-2 to Subpart C of Part 98—Default CH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and 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 Emission Factors for Various Types of Fuel</t>
    </r>
  </si>
  <si>
    <t xml:space="preserve"> </t>
  </si>
  <si>
    <t>Coal and coke</t>
  </si>
  <si>
    <t>Anthracite</t>
  </si>
  <si>
    <t>Bituminous</t>
  </si>
  <si>
    <t>Subbituminous</t>
  </si>
  <si>
    <t>Lignite</t>
  </si>
  <si>
    <t>Coal Coke</t>
  </si>
  <si>
    <t>Mixed (Commercial sector)</t>
  </si>
  <si>
    <t>Mixed (Industrial coking)</t>
  </si>
  <si>
    <t>Mixed (Industrial sector)</t>
  </si>
  <si>
    <t>Mixed (Electric Power sector)</t>
  </si>
  <si>
    <t>Natural gas</t>
  </si>
  <si>
    <t>Petroleum products—liquid</t>
  </si>
  <si>
    <t>Distillate Fuel Oil No. 1</t>
  </si>
  <si>
    <t>Distillate Fuel Oil No. 2</t>
  </si>
  <si>
    <t>Distillate Fuel Oil No. 4</t>
  </si>
  <si>
    <t>Residual Fuel Oil No. 5</t>
  </si>
  <si>
    <t>Residual Fuel Oil No. 6</t>
  </si>
  <si>
    <t>Used Oil</t>
  </si>
  <si>
    <t>Kerosene</t>
  </si>
  <si>
    <t>Ethanol</t>
  </si>
  <si>
    <t>Naphtha (&lt;401 deg F)</t>
  </si>
  <si>
    <t>Natural Gasoline</t>
  </si>
  <si>
    <t>Other Oil (&gt;401 deg F)</t>
  </si>
  <si>
    <t>Pentanes Plus</t>
  </si>
  <si>
    <t>Petrochemical Feedstocks</t>
  </si>
  <si>
    <t>Special Naphtha</t>
  </si>
  <si>
    <t>Unfinished Oils</t>
  </si>
  <si>
    <t>Heavy Gas Oils</t>
  </si>
  <si>
    <t>Lubricants</t>
  </si>
  <si>
    <t>Motor Gasoline</t>
  </si>
  <si>
    <t>Aviation Gasoline</t>
  </si>
  <si>
    <t>Kerosene-Type Jet Fuel</t>
  </si>
  <si>
    <t>Asphalt and Road Oil</t>
  </si>
  <si>
    <t>Crude Oil</t>
  </si>
  <si>
    <t>Petroleum products—solid</t>
  </si>
  <si>
    <t>Petroleum Coke</t>
  </si>
  <si>
    <t>Petroleum products—gaseous</t>
  </si>
  <si>
    <t>Propane Gas</t>
  </si>
  <si>
    <t>Other fuels—solid</t>
  </si>
  <si>
    <t>Municipal Solid Waste</t>
  </si>
  <si>
    <t>Tires</t>
  </si>
  <si>
    <t>Plastics</t>
  </si>
  <si>
    <t>Other fuels—gaseous</t>
  </si>
  <si>
    <t>Biomass fuels—solid</t>
  </si>
  <si>
    <t>Agricultural Byproducts</t>
  </si>
  <si>
    <t>Peat</t>
  </si>
  <si>
    <t>Solid Byproducts</t>
  </si>
  <si>
    <t>Biomass fuels—gaseous</t>
  </si>
  <si>
    <t>Landfill Gas</t>
  </si>
  <si>
    <t>Other Biomass Gases</t>
  </si>
  <si>
    <t>Biomass Fuels—Liquid</t>
  </si>
  <si>
    <t>Biodiesel (100%)</t>
  </si>
  <si>
    <t>Rendered Animal Fat</t>
  </si>
  <si>
    <t>Vegetable Oil</t>
  </si>
  <si>
    <t>Products</t>
  </si>
  <si>
    <t>Column A: density</t>
  </si>
  <si>
    <t>(metric tons/bbl)</t>
  </si>
  <si>
    <t>Column B:</t>
  </si>
  <si>
    <t>carbon share</t>
  </si>
  <si>
    <t>(% of mass)</t>
  </si>
  <si>
    <t>Column C:</t>
  </si>
  <si>
    <t>emission factor</t>
  </si>
  <si>
    <t>Finished Motor Gasoline</t>
  </si>
  <si>
    <t>Conventional—Summer</t>
  </si>
  <si>
    <t>Regular</t>
  </si>
  <si>
    <t>Midgrade</t>
  </si>
  <si>
    <t>Premium</t>
  </si>
  <si>
    <t>Conventional—Winter</t>
  </si>
  <si>
    <t>Reformulated—Summer</t>
  </si>
  <si>
    <t>Reformulated—Winter</t>
  </si>
  <si>
    <t>Gasoline—Other</t>
  </si>
  <si>
    <t>Blendstocks</t>
  </si>
  <si>
    <t>CBOB—Summer</t>
  </si>
  <si>
    <t>CBOB—Winter</t>
  </si>
  <si>
    <t>RBOB—Summer</t>
  </si>
  <si>
    <t>RBOB—Winter</t>
  </si>
  <si>
    <t>Blendstocks—Other</t>
  </si>
  <si>
    <t>Oxygenates</t>
  </si>
  <si>
    <t>Methanol</t>
  </si>
  <si>
    <t>GTBA</t>
  </si>
  <si>
    <t>MTBE</t>
  </si>
  <si>
    <t>ETBE</t>
  </si>
  <si>
    <t>TAME</t>
  </si>
  <si>
    <t>DIPE</t>
  </si>
  <si>
    <t>Distillate Fuel Oil</t>
  </si>
  <si>
    <t>Distillate No. 1</t>
  </si>
  <si>
    <t>Ultra Low Sulfur</t>
  </si>
  <si>
    <t>Low Sulfur</t>
  </si>
  <si>
    <t>High Sulfur</t>
  </si>
  <si>
    <t>Distillate No. 2</t>
  </si>
  <si>
    <t>Residual Fuel Oil No. 5 (Navy Special)</t>
  </si>
  <si>
    <t>Residual Fuel Oil No. 6 (a.k.a. Bunker C)</t>
  </si>
  <si>
    <t>Diesel—Other</t>
  </si>
  <si>
    <t>Naphthas (&lt;401 °F)</t>
  </si>
  <si>
    <t>Other Oils (&gt;401 °F)</t>
  </si>
  <si>
    <t>Residuum</t>
  </si>
  <si>
    <t>Other Petroleum Products and Natural Gas Liquids</t>
  </si>
  <si>
    <t>Special Naphthas</t>
  </si>
  <si>
    <t>Waxes</t>
  </si>
  <si>
    <t>Still Gas</t>
  </si>
  <si>
    <t>Isobutylene</t>
  </si>
  <si>
    <t>Miscellaneous Products</t>
  </si>
  <si>
    <r>
      <t>Ethane</t>
    </r>
    <r>
      <rPr>
        <vertAlign val="superscript"/>
        <sz val="11"/>
        <color theme="1"/>
        <rFont val="Calibri"/>
        <family val="2"/>
        <scheme val="minor"/>
      </rPr>
      <t>3</t>
    </r>
  </si>
  <si>
    <r>
      <t>Ethylene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</si>
  <si>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Propane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</si>
  <si>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Propylene</t>
    </r>
    <r>
      <rPr>
        <vertAlign val="superscript"/>
        <sz val="11"/>
        <color theme="1"/>
        <rFont val="Calibri"/>
        <family val="2"/>
        <scheme val="minor"/>
      </rPr>
      <t>3</t>
    </r>
  </si>
  <si>
    <r>
      <t>Butane</t>
    </r>
    <r>
      <rPr>
        <vertAlign val="superscript"/>
        <sz val="11"/>
        <color theme="1"/>
        <rFont val="Calibri"/>
        <family val="2"/>
        <scheme val="minor"/>
      </rPr>
      <t>3</t>
    </r>
  </si>
  <si>
    <r>
      <t>Butylene</t>
    </r>
    <r>
      <rPr>
        <vertAlign val="superscript"/>
        <sz val="11"/>
        <color theme="1"/>
        <rFont val="Calibri"/>
        <family val="2"/>
        <scheme val="minor"/>
      </rPr>
      <t>3</t>
    </r>
  </si>
  <si>
    <r>
      <t>Isobutane</t>
    </r>
    <r>
      <rPr>
        <vertAlign val="superscript"/>
        <sz val="11"/>
        <color theme="1"/>
        <rFont val="Calibri"/>
        <family val="2"/>
        <scheme val="minor"/>
      </rPr>
      <t>3</t>
    </r>
  </si>
  <si>
    <r>
      <t>Isobutylene</t>
    </r>
    <r>
      <rPr>
        <vertAlign val="superscript"/>
        <sz val="11"/>
        <color theme="1"/>
        <rFont val="Calibri"/>
        <family val="2"/>
        <scheme val="minor"/>
      </rPr>
      <t>3</t>
    </r>
  </si>
  <si>
    <r>
      <t>1</t>
    </r>
    <r>
      <rPr>
        <sz val="11"/>
        <color theme="1"/>
        <rFont val="Calibri"/>
        <family val="2"/>
        <scheme val="minor"/>
      </rPr>
      <t>In the case of products blended with some portion of biomass-based fuel, the carbon share in Table MM-1 of this subpart represents only the petroleum-based components.</t>
    </r>
  </si>
  <si>
    <r>
      <t>3</t>
    </r>
    <r>
      <rPr>
        <sz val="11"/>
        <color theme="1"/>
        <rFont val="Calibri"/>
        <family val="2"/>
        <scheme val="minor"/>
      </rPr>
      <t>The density and emission factors for components of LPG determined at 60 degrees Fahrenheit and saturation pressure (LPGs other than ethylene).</t>
    </r>
  </si>
  <si>
    <r>
      <t>4</t>
    </r>
    <r>
      <rPr>
        <sz val="11"/>
        <color theme="1"/>
        <rFont val="Calibri"/>
        <family val="2"/>
        <scheme val="minor"/>
      </rPr>
      <t>The density and emission factor for ethylene determined at 41 degrees Fahrenheit and saturation pressure.</t>
    </r>
  </si>
  <si>
    <t>Wood and Wood Residuals (dry basis)</t>
  </si>
  <si>
    <t>Propylene</t>
  </si>
  <si>
    <t>Ethane</t>
  </si>
  <si>
    <t>Ethylene</t>
  </si>
  <si>
    <t>Isobutane</t>
  </si>
  <si>
    <t>Butane</t>
  </si>
  <si>
    <t>Butylene</t>
  </si>
  <si>
    <t>Liquefied petroleum gases (LPG)</t>
  </si>
  <si>
    <t>Propane</t>
  </si>
  <si>
    <t>Fuel types from Table C-1 to Subpart C of Part 98</t>
  </si>
  <si>
    <t>Table MM-2 to Subpart MM of Part 98—Default Factors for Biomass-Based Fuels and Biomass</t>
  </si>
  <si>
    <t>Biomass-based fuel and biomass</t>
  </si>
  <si>
    <t>Column A:</t>
  </si>
  <si>
    <t>Density</t>
  </si>
  <si>
    <t>Column B: Carbon share</t>
  </si>
  <si>
    <t>Emission factor</t>
  </si>
  <si>
    <t>Ethanol (100%)</t>
  </si>
  <si>
    <t>Biodiesel (100%, methyl ester)</t>
  </si>
  <si>
    <r>
      <t>(metric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/bbl)</t>
    </r>
  </si>
  <si>
    <r>
      <t>Table MM-1 to Subpart MM of Part 98—Default Factors for Petroleum Products and Natural Gas Liquids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</si>
  <si>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Default CH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emission factor 
(kg CH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/mmBtu)</t>
    </r>
  </si>
  <si>
    <r>
      <t>Default 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 emission factor 
(kg 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O/mmBtu)</t>
    </r>
  </si>
  <si>
    <t>Comments (optional):</t>
  </si>
  <si>
    <t>Fill out the following table with general information about this supplier:</t>
  </si>
  <si>
    <t>WAC 173-441: Reporting of Emissions of Greenhouse Gases</t>
  </si>
  <si>
    <t xml:space="preserve">40 C.F.R Part 98: EPA Mandatory Greenhouse Gas Reporting </t>
  </si>
  <si>
    <t>GHGRPID:</t>
  </si>
  <si>
    <t>Back to Aggregate products</t>
  </si>
  <si>
    <t>Table 122-1 of WAC 173-441</t>
  </si>
  <si>
    <t>Fuel</t>
  </si>
  <si>
    <t>Blendstocks of finished gasoline</t>
  </si>
  <si>
    <t>Biodiesel and renewable diesel</t>
  </si>
  <si>
    <r>
      <t>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 (g/bbl)</t>
    </r>
  </si>
  <si>
    <r>
      <t>CH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(g/bbl)</t>
    </r>
  </si>
  <si>
    <t>Default high heat value</t>
  </si>
  <si>
    <t>mmBtu/short ton</t>
  </si>
  <si>
    <t>mmBtu/scf</t>
  </si>
  <si>
    <t>Natural gas weighted U.S. average</t>
  </si>
  <si>
    <t>mmBtu/gallon</t>
  </si>
  <si>
    <t>Conversion factors</t>
  </si>
  <si>
    <t>g/kg</t>
  </si>
  <si>
    <t>Conversion factors from Table A-2 of WAC 173-441</t>
  </si>
  <si>
    <t>gal/bbl</t>
  </si>
  <si>
    <t>Unit</t>
  </si>
  <si>
    <t>Global warming potentials</t>
  </si>
  <si>
    <t>Gas</t>
  </si>
  <si>
    <t>GWP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</si>
  <si>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</si>
  <si>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</si>
  <si>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</si>
  <si>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/bbl</t>
    </r>
  </si>
  <si>
    <t>MT/kg</t>
  </si>
  <si>
    <t>MT/short ton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</si>
  <si>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</t>
    </r>
    <r>
      <rPr>
        <vertAlign val="superscript"/>
        <sz val="11"/>
        <color theme="1"/>
        <rFont val="Calibri"/>
        <family val="2"/>
        <scheme val="minor"/>
      </rPr>
      <t>3</t>
    </r>
  </si>
  <si>
    <t>TOTAL</t>
  </si>
  <si>
    <t>Light green cells require reporter input</t>
  </si>
  <si>
    <t>Distillate and diesel-other</t>
  </si>
  <si>
    <t>Miscellaneous products</t>
  </si>
  <si>
    <t>Still gas</t>
  </si>
  <si>
    <t>Motor vehicle or special fuel exclusively used for agricultural purposes by a farm fuel user 
(Barrels)</t>
  </si>
  <si>
    <t>Motor vehicle or special fuel exclusively used for the purpose of transporting agricultural products on public highways 
(Barrels)</t>
  </si>
  <si>
    <t>Light blue cells are optional for a reporter to complete</t>
  </si>
  <si>
    <t>Supplier name:</t>
  </si>
  <si>
    <t>Reporting year:</t>
  </si>
  <si>
    <t>Primary NAICS code:</t>
  </si>
  <si>
    <t>Additional NAICS code(s):</t>
  </si>
  <si>
    <t>Parent company name</t>
  </si>
  <si>
    <t>City</t>
  </si>
  <si>
    <t>State</t>
  </si>
  <si>
    <t>Percent ownership</t>
  </si>
  <si>
    <t>Description of direct or indirect affiliation with other reporters</t>
  </si>
  <si>
    <t>Description of cause of increase or decrease in emissions, if the increase or decrease is more than 5% in GHGs relative to the previous year:</t>
  </si>
  <si>
    <t>Product</t>
  </si>
  <si>
    <t>Product for marine applications combusted outside WA state 
(Barrels)</t>
  </si>
  <si>
    <t>Fill out the following table if any of the following situations are applicable to this supplier:</t>
  </si>
  <si>
    <t>Street address</t>
  </si>
  <si>
    <t>Zip code</t>
  </si>
  <si>
    <t>Gasoline</t>
  </si>
  <si>
    <t>Diesel and Distillate Fuel Oil</t>
  </si>
  <si>
    <t>Biomass-Based Fuels</t>
  </si>
  <si>
    <t>Washington Department of Ecology Reporting Tool for Greenhouse Gas Emissions from Fuel Suppliers</t>
  </si>
  <si>
    <t>Product for aviation use 
(Barrels)</t>
  </si>
  <si>
    <t>Color code</t>
  </si>
  <si>
    <t>GHG report start date:</t>
  </si>
  <si>
    <t>GHG report end date:</t>
  </si>
  <si>
    <t>ID</t>
  </si>
  <si>
    <t>Year</t>
  </si>
  <si>
    <t>Light gray cells calculate based on reporter input or are non-input</t>
  </si>
  <si>
    <t>Description</t>
  </si>
  <si>
    <t>Conventional gasoline, typically used in WA</t>
  </si>
  <si>
    <t>Reformulated gasoline, typically used in CA</t>
  </si>
  <si>
    <t>Notes</t>
  </si>
  <si>
    <t>% biogenic</t>
  </si>
  <si>
    <t>The density and emission factor determined at 60°F and saturation pressure</t>
  </si>
  <si>
    <t>The density and emission factor determined at 41°F and saturation pressure</t>
  </si>
  <si>
    <r>
      <t>Fossil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
Reported
(MT)</t>
    </r>
  </si>
  <si>
    <r>
      <t>Biogenic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
Reported
(MT)</t>
    </r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</si>
  <si>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
Reported
(MT)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</si>
  <si>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 
Reported
(MT)</t>
    </r>
  </si>
  <si>
    <r>
      <t>Total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
Reported
(MT)</t>
    </r>
  </si>
  <si>
    <r>
      <t>Fossil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
CCA
(MT)</t>
    </r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</si>
  <si>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
CCA
(MT)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</si>
  <si>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 
CCA
(MT)</t>
    </r>
  </si>
  <si>
    <r>
      <t>Total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
CCA
(MT)</t>
    </r>
  </si>
  <si>
    <t>Notes optional</t>
  </si>
  <si>
    <t>Product delivered across a terminal or refinery rack in WA
(Barrels)</t>
  </si>
  <si>
    <t>Product imported from outside WA outside the bulk system/terminal system delivered in WA 
(Barrels)</t>
  </si>
  <si>
    <t>Total product quantity used for emissions reporting (Barrels)</t>
  </si>
  <si>
    <t>LPG supplied in WA (Barrels)</t>
  </si>
  <si>
    <t>Biogenic product quantity used for emissions reporting (Barrels)</t>
  </si>
  <si>
    <r>
      <t>Biogenic product quantity used for CCA (non-CO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(Barrels)</t>
    </r>
  </si>
  <si>
    <t>Fossil product quantity used for CCA (Barrels)</t>
  </si>
  <si>
    <t>Liquefied petroleum gas (LPG)</t>
  </si>
  <si>
    <t>% ownership = 100</t>
  </si>
  <si>
    <t>Validation</t>
  </si>
  <si>
    <t>Start Here</t>
  </si>
  <si>
    <t>Required Complete</t>
  </si>
  <si>
    <t>Aggregate Products</t>
  </si>
  <si>
    <t>Individual products</t>
  </si>
  <si>
    <t>Detailed Validation (Business Team Only)</t>
  </si>
  <si>
    <t>Quality Control Screen</t>
  </si>
  <si>
    <t>Correct before uploading</t>
  </si>
  <si>
    <t>Volume of denaturant is assumed to be zero and not required to be reported here.</t>
  </si>
  <si>
    <t>Assumed not combusted when calculating CCA covered emissions.</t>
  </si>
  <si>
    <t>Note: This reporting is required but additional to Rows 3-66 so it is not included in emissions totals. You must enter individual components in Rows 3-66 and enter total volume of LPG supplied in WA in this table.</t>
  </si>
  <si>
    <t>For fuel product imports (reported in column E), designated percentage of oxygenate (%)</t>
  </si>
  <si>
    <t>Product with a final destination outside of WA, product previously delivered by a position holder or refiner out of an upstream WA terminal or refinery rack prior to delivery out of a second terminal rack, or non-crude feedstocks used in WA refinery
(Barrels)</t>
  </si>
  <si>
    <t>Type</t>
  </si>
  <si>
    <t>OFS</t>
  </si>
  <si>
    <t>Fill out the following table with information about this supplier's highest parent company(s):</t>
  </si>
  <si>
    <r>
      <t xml:space="preserve">Were there any changes to </t>
    </r>
    <r>
      <rPr>
        <b/>
        <sz val="11"/>
        <color theme="1"/>
        <rFont val="Calibri"/>
        <family val="2"/>
        <scheme val="minor"/>
      </rPr>
      <t>emission</t>
    </r>
    <r>
      <rPr>
        <sz val="11"/>
        <color theme="1"/>
        <rFont val="Calibri"/>
        <family val="2"/>
        <scheme val="minor"/>
      </rPr>
      <t xml:space="preserve"> data calculation methodologies since the last reporting year or during the reporting year?</t>
    </r>
  </si>
  <si>
    <t>Emission data method change explanation:</t>
  </si>
  <si>
    <t>Were any missing data procedures used this reporting year?</t>
  </si>
  <si>
    <t>Did emissions increase or decrease more than 5% relative to the previous year?</t>
  </si>
  <si>
    <t>List each data element for which a missing data procedure was used (40 CFR § 98.395):</t>
  </si>
  <si>
    <t>Total number of hours in the year that a missing data procedure was used for each data element:</t>
  </si>
  <si>
    <t>Please confirm the following:</t>
  </si>
  <si>
    <t>NAICS Code</t>
  </si>
  <si>
    <t>Check volumes (old G)</t>
  </si>
  <si>
    <t>Confirmations</t>
  </si>
  <si>
    <t>Product previously delivered by a position holder or refiner out of an upstream WA terminal or refinery rack prior to delivery out of a second terminal rack
(Barrels)</t>
  </si>
  <si>
    <t>Product with a final destination outside of WA
(Barrels)</t>
  </si>
  <si>
    <t>Non-crude feedstocks used in WA refinery
(Barrels)</t>
  </si>
  <si>
    <t>Product demonstrated to Ecology's satisfaction that it is not combusted or oxidized
(Barrels)</t>
  </si>
  <si>
    <t>Emissions Summary:</t>
  </si>
  <si>
    <r>
      <t>Reported Emissions - in MT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e </t>
    </r>
  </si>
  <si>
    <r>
      <t>Covered Emissions - in MT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e </t>
    </r>
  </si>
  <si>
    <t>Column G Screen</t>
  </si>
  <si>
    <t>No External Links</t>
  </si>
  <si>
    <t>External Links to excel workbooks as inputs in columns C:O and cell A72 (Aggregate Products Tab).</t>
  </si>
  <si>
    <t>"C"</t>
  </si>
  <si>
    <t>"D"</t>
  </si>
  <si>
    <t>"E"</t>
  </si>
  <si>
    <t>"F"</t>
  </si>
  <si>
    <t>"G"</t>
  </si>
  <si>
    <t>"H"</t>
  </si>
  <si>
    <t>"I"</t>
  </si>
  <si>
    <t>"J"</t>
  </si>
  <si>
    <t>"K"</t>
  </si>
  <si>
    <t>"L"</t>
  </si>
  <si>
    <t>"M"</t>
  </si>
  <si>
    <t>"N"</t>
  </si>
  <si>
    <t>"O"</t>
  </si>
  <si>
    <t>A72</t>
  </si>
  <si>
    <t>LPG CELL</t>
  </si>
  <si>
    <t>FALSE:</t>
  </si>
  <si>
    <t>TRUE:</t>
  </si>
  <si>
    <t>Absence  of external links.</t>
  </si>
  <si>
    <t>Presence of external links.</t>
  </si>
  <si>
    <t>Accessibility</t>
  </si>
  <si>
    <t>To request an ADA accommodation, contact Ecology's ADA Coordinator by phone at 360-407-6831 or email Ecology's GHG Reporting and Verification Team at GHGReporting@ecy.wa.gov, or visit https://ecology.wa.gov/accessibility. For Relay Service or TTY call 711 or 877-833-6341.</t>
  </si>
  <si>
    <t>Columns K-O: Must include these volumes in columns D-E (as applicable); may also report these volumes in columns K-O if documentation demonstrating product’s end use can be provided to ECY.</t>
  </si>
  <si>
    <t>This reporting tool must be completed by suppliers of fuels, except natural gas, reporting under WAC 173-441-122(5).  For assistance and questions, email ghgreporting@ecy.wa.gov.</t>
  </si>
  <si>
    <r>
      <rPr>
        <b/>
        <sz val="16"/>
        <color theme="1"/>
        <rFont val="Calibri"/>
        <family val="2"/>
        <scheme val="minor"/>
      </rPr>
      <t>Aggregate petroleum products</t>
    </r>
    <r>
      <rPr>
        <sz val="16"/>
        <color theme="1"/>
        <rFont val="Calibri"/>
        <family val="2"/>
        <scheme val="minor"/>
      </rPr>
      <t>: Report annual aggregate quantity of each individual product. For blended products, emissions must be reported for each individual product separately.</t>
    </r>
  </si>
  <si>
    <t>LPG - only A72</t>
  </si>
  <si>
    <t>Only propane</t>
  </si>
  <si>
    <t>Only butane</t>
  </si>
  <si>
    <t xml:space="preserve">Per WAC 173-441-122(5), fuel products must be reported into their component/constituent parts. Please confirm that fuel products are reported in their component/constituent parts and not as finished fuel products in this reporting tool. </t>
  </si>
  <si>
    <t xml:space="preserve">Per WAC 173-441-122(5)(a)(ii), no fuel product shall be reported as finished fuel. Please confirm that all unfinished products at the point of regulation are reported. </t>
  </si>
  <si>
    <t xml:space="preserve">Per WAC 173-441-122(5)(d)(vii), please confirm that oxygenate percentages have been reported for all imported fuel products. </t>
  </si>
  <si>
    <t xml:space="preserve">Check for negative values. </t>
  </si>
  <si>
    <t>Distillate No. 2 Ultra Low Sulfur</t>
  </si>
  <si>
    <t xml:space="preserve">Additional Rows to Report Renewable Diesel for EY2024. </t>
  </si>
  <si>
    <t>Version 3.0</t>
  </si>
  <si>
    <t>Last updated: 2/20/2025</t>
  </si>
  <si>
    <t xml:space="preserve">Contact ECY if you need to report differing biogenic percentages for the same fuel that meets multiple points of regulation or exemptions. </t>
  </si>
  <si>
    <t>Form 070-779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</si>
</sst>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E+00"/>
    <numFmt numFmtId="165" formatCode="_(* #,##0_);_(* \(#,##0\);_(* &quot;-&quot;??_);_(@_)"/>
    <numFmt numFmtId="166" formatCode="0.00000"/>
    <numFmt numFmtId="167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60">
    <xf numFmtId="0" fontId="0" fillId="0" borderId="0" xfId="0"/>
    <xf numFmtId="0" fontId="1" fillId="0" borderId="0" xfId="0" applyFont="1"/>
    <xf numFmtId="0" fontId="0" fillId="4" borderId="0" xfId="0" applyFill="1"/>
    <xf numFmtId="14" fontId="0" fillId="3" borderId="11" xfId="0" applyNumberFormat="1" applyFill="1" applyBorder="1" applyProtection="1">
      <protection locked="0"/>
    </xf>
    <xf numFmtId="0" fontId="0" fillId="0" borderId="0" xfId="0" applyAlignment="1">
      <alignment horizontal="left" indent="1"/>
    </xf>
    <xf numFmtId="9" fontId="0" fillId="0" borderId="0" xfId="0" applyNumberFormat="1"/>
    <xf numFmtId="3" fontId="0" fillId="0" borderId="0" xfId="0" applyNumberFormat="1"/>
    <xf numFmtId="0" fontId="0" fillId="7" borderId="5" xfId="0" applyFill="1" applyBorder="1" applyAlignment="1">
      <alignment horizontal="left"/>
    </xf>
    <xf numFmtId="0" fontId="7" fillId="8" borderId="4" xfId="1" applyFill="1" applyBorder="1" applyProtection="1"/>
    <xf numFmtId="0" fontId="7" fillId="8" borderId="6" xfId="1" applyFill="1" applyBorder="1" applyProtection="1"/>
    <xf numFmtId="0" fontId="0" fillId="3" borderId="6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9" fontId="0" fillId="3" borderId="1" xfId="3" applyFont="1" applyFill="1" applyBorder="1" applyProtection="1">
      <protection locked="0"/>
    </xf>
    <xf numFmtId="9" fontId="0" fillId="3" borderId="5" xfId="3" applyFont="1" applyFill="1" applyBorder="1" applyAlignment="1" applyProtection="1">
      <protection locked="0"/>
    </xf>
    <xf numFmtId="3" fontId="0" fillId="3" borderId="5" xfId="2" applyNumberFormat="1" applyFont="1" applyFill="1" applyBorder="1" applyProtection="1">
      <protection locked="0"/>
    </xf>
    <xf numFmtId="9" fontId="0" fillId="3" borderId="5" xfId="3" applyFon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3" fontId="0" fillId="2" borderId="10" xfId="0" applyNumberFormat="1" applyFill="1" applyBorder="1" applyProtection="1">
      <protection locked="0"/>
    </xf>
    <xf numFmtId="3" fontId="0" fillId="3" borderId="10" xfId="2" applyNumberFormat="1" applyFont="1" applyFill="1" applyBorder="1" applyProtection="1">
      <protection locked="0"/>
    </xf>
    <xf numFmtId="9" fontId="0" fillId="3" borderId="10" xfId="3" applyFont="1" applyFill="1" applyBorder="1" applyProtection="1">
      <protection locked="0"/>
    </xf>
    <xf numFmtId="9" fontId="0" fillId="3" borderId="8" xfId="3" applyFont="1" applyFill="1" applyBorder="1" applyAlignment="1" applyProtection="1">
      <protection locked="0"/>
    </xf>
    <xf numFmtId="3" fontId="0" fillId="3" borderId="11" xfId="2" applyNumberFormat="1" applyFont="1" applyFill="1" applyBorder="1" applyProtection="1">
      <protection locked="0"/>
    </xf>
    <xf numFmtId="9" fontId="0" fillId="3" borderId="11" xfId="3" applyFont="1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9" fontId="0" fillId="3" borderId="10" xfId="3" applyFont="1" applyFill="1" applyBorder="1" applyAlignment="1" applyProtection="1">
      <protection locked="0"/>
    </xf>
    <xf numFmtId="9" fontId="0" fillId="3" borderId="11" xfId="3" applyFont="1" applyFill="1" applyBorder="1" applyAlignment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9" fontId="0" fillId="8" borderId="1" xfId="3" applyFont="1" applyFill="1" applyBorder="1" applyProtection="1">
      <protection locked="0"/>
    </xf>
    <xf numFmtId="0" fontId="13" fillId="3" borderId="11" xfId="0" applyFont="1" applyFill="1" applyBorder="1" applyAlignment="1" applyProtection="1">
      <alignment horizontal="center" vertical="top" wrapText="1"/>
      <protection locked="0"/>
    </xf>
    <xf numFmtId="0" fontId="13" fillId="8" borderId="11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3" fontId="0" fillId="8" borderId="5" xfId="2" applyNumberFormat="1" applyFont="1" applyFill="1" applyBorder="1" applyProtection="1"/>
    <xf numFmtId="3" fontId="0" fillId="8" borderId="10" xfId="2" applyNumberFormat="1" applyFont="1" applyFill="1" applyBorder="1" applyProtection="1"/>
    <xf numFmtId="0" fontId="0" fillId="9" borderId="0" xfId="0" applyFill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0" xfId="0" applyBorder="1"/>
    <xf numFmtId="0" fontId="13" fillId="8" borderId="1" xfId="0" applyFont="1" applyFill="1" applyBorder="1" applyAlignment="1" applyProtection="1">
      <alignment vertical="top" wrapText="1"/>
      <protection locked="0"/>
    </xf>
    <xf numFmtId="0" fontId="13" fillId="8" borderId="4" xfId="0" applyFont="1" applyFill="1" applyBorder="1" applyProtection="1">
      <protection hidden="1"/>
    </xf>
    <xf numFmtId="0" fontId="13" fillId="8" borderId="5" xfId="0" applyFont="1" applyFill="1" applyBorder="1" applyProtection="1">
      <protection hidden="1"/>
    </xf>
    <xf numFmtId="0" fontId="0" fillId="8" borderId="4" xfId="0" applyFill="1" applyBorder="1" applyProtection="1">
      <protection hidden="1"/>
    </xf>
    <xf numFmtId="0" fontId="0" fillId="8" borderId="5" xfId="0" applyFill="1" applyBorder="1" applyProtection="1">
      <protection hidden="1"/>
    </xf>
    <xf numFmtId="0" fontId="0" fillId="8" borderId="6" xfId="0" applyFill="1" applyBorder="1" applyProtection="1">
      <protection hidden="1"/>
    </xf>
    <xf numFmtId="167" fontId="1" fillId="0" borderId="0" xfId="0" applyNumberFormat="1" applyFont="1"/>
    <xf numFmtId="0" fontId="0" fillId="2" borderId="11" xfId="0" applyFill="1" applyBorder="1" applyProtection="1">
      <protection locked="0"/>
    </xf>
    <xf numFmtId="0" fontId="0" fillId="8" borderId="0" xfId="0" applyFill="1" applyProtection="1">
      <protection hidden="1"/>
    </xf>
    <xf numFmtId="0" fontId="13" fillId="8" borderId="0" xfId="0" applyFont="1" applyFill="1" applyProtection="1">
      <protection hidden="1"/>
    </xf>
    <xf numFmtId="0" fontId="0" fillId="2" borderId="1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4" xfId="0" applyBorder="1" applyProtection="1">
      <protection locked="0"/>
    </xf>
    <xf numFmtId="14" fontId="0" fillId="0" borderId="0" xfId="0" applyNumberForma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/>
    <xf numFmtId="0" fontId="0" fillId="0" borderId="0" xfId="0" applyAlignment="1">
      <alignment wrapText="1"/>
    </xf>
    <xf numFmtId="167" fontId="13" fillId="0" borderId="0" xfId="0" applyNumberFormat="1" applyFont="1"/>
    <xf numFmtId="0" fontId="1" fillId="7" borderId="2" xfId="0" applyFont="1" applyFill="1" applyBorder="1"/>
    <xf numFmtId="0" fontId="0" fillId="7" borderId="3" xfId="0" applyFill="1" applyBorder="1"/>
    <xf numFmtId="0" fontId="13" fillId="0" borderId="0" xfId="0" applyFont="1"/>
    <xf numFmtId="0" fontId="0" fillId="8" borderId="2" xfId="0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7" borderId="2" xfId="0" applyFont="1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  <xf numFmtId="0" fontId="12" fillId="0" borderId="0" xfId="0" applyFont="1"/>
    <xf numFmtId="0" fontId="1" fillId="7" borderId="12" xfId="0" applyFont="1" applyFill="1" applyBorder="1" applyAlignment="1">
      <alignment horizontal="left" vertical="top"/>
    </xf>
    <xf numFmtId="0" fontId="1" fillId="7" borderId="13" xfId="0" applyFont="1" applyFill="1" applyBorder="1" applyAlignment="1">
      <alignment horizontal="left" vertical="top"/>
    </xf>
    <xf numFmtId="0" fontId="1" fillId="7" borderId="1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5" xfId="0" applyBorder="1"/>
    <xf numFmtId="0" fontId="12" fillId="0" borderId="4" xfId="0" applyFont="1" applyBorder="1"/>
    <xf numFmtId="0" fontId="0" fillId="8" borderId="5" xfId="0" applyFill="1" applyBorder="1"/>
    <xf numFmtId="0" fontId="0" fillId="8" borderId="8" xfId="0" applyFill="1" applyBorder="1"/>
    <xf numFmtId="0" fontId="0" fillId="8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/>
    <xf numFmtId="0" fontId="0" fillId="8" borderId="1" xfId="0" applyFill="1" applyBorder="1"/>
    <xf numFmtId="0" fontId="0" fillId="8" borderId="11" xfId="0" applyFill="1" applyBorder="1"/>
    <xf numFmtId="0" fontId="0" fillId="8" borderId="1" xfId="0" applyFill="1" applyBorder="1" applyAlignment="1">
      <alignment vertical="top"/>
    </xf>
    <xf numFmtId="0" fontId="1" fillId="7" borderId="15" xfId="0" applyFont="1" applyFill="1" applyBorder="1"/>
    <xf numFmtId="0" fontId="1" fillId="7" borderId="3" xfId="0" applyFont="1" applyFill="1" applyBorder="1"/>
    <xf numFmtId="0" fontId="0" fillId="7" borderId="1" xfId="0" applyFill="1" applyBorder="1"/>
    <xf numFmtId="0" fontId="1" fillId="7" borderId="2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0" fillId="8" borderId="3" xfId="0" applyFill="1" applyBorder="1" applyAlignment="1">
      <alignment horizontal="left" vertical="top" wrapText="1" indent="2"/>
    </xf>
    <xf numFmtId="0" fontId="0" fillId="8" borderId="1" xfId="0" applyFill="1" applyBorder="1" applyAlignment="1">
      <alignment horizontal="left" vertical="top" wrapText="1" indent="2"/>
    </xf>
    <xf numFmtId="0" fontId="13" fillId="8" borderId="1" xfId="0" applyFont="1" applyFill="1" applyBorder="1" applyAlignment="1">
      <alignment wrapText="1"/>
    </xf>
    <xf numFmtId="0" fontId="13" fillId="8" borderId="6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5" fillId="7" borderId="1" xfId="0" applyFont="1" applyFill="1" applyBorder="1" applyAlignment="1">
      <alignment wrapText="1"/>
    </xf>
    <xf numFmtId="1" fontId="0" fillId="8" borderId="1" xfId="0" applyNumberFormat="1" applyFill="1" applyBorder="1"/>
    <xf numFmtId="3" fontId="0" fillId="8" borderId="10" xfId="0" applyNumberFormat="1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7" fillId="0" borderId="0" xfId="0" applyFont="1"/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9" fillId="0" borderId="0" xfId="0" applyFont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1" fillId="8" borderId="5" xfId="0" applyFont="1" applyFill="1" applyBorder="1" applyAlignment="1">
      <alignment horizontal="left"/>
    </xf>
    <xf numFmtId="3" fontId="0" fillId="8" borderId="5" xfId="0" applyNumberFormat="1" applyFill="1" applyBorder="1" applyAlignment="1">
      <alignment horizontal="left"/>
    </xf>
    <xf numFmtId="3" fontId="0" fillId="8" borderId="10" xfId="0" applyNumberFormat="1" applyFill="1" applyBorder="1" applyAlignment="1">
      <alignment horizontal="left"/>
    </xf>
    <xf numFmtId="3" fontId="0" fillId="8" borderId="10" xfId="0" applyNumberFormat="1" applyFill="1" applyBorder="1" applyAlignment="1">
      <alignment horizontal="center" wrapText="1"/>
    </xf>
    <xf numFmtId="3" fontId="0" fillId="8" borderId="5" xfId="0" applyNumberFormat="1" applyFill="1" applyBorder="1" applyAlignment="1">
      <alignment horizontal="center" wrapText="1"/>
    </xf>
    <xf numFmtId="3" fontId="0" fillId="8" borderId="4" xfId="0" applyNumberFormat="1" applyFill="1" applyBorder="1" applyAlignment="1">
      <alignment horizontal="center" wrapText="1"/>
    </xf>
    <xf numFmtId="4" fontId="0" fillId="8" borderId="10" xfId="0" applyNumberFormat="1" applyFill="1" applyBorder="1" applyAlignment="1">
      <alignment horizontal="center" wrapText="1"/>
    </xf>
    <xf numFmtId="3" fontId="0" fillId="8" borderId="9" xfId="2" applyNumberFormat="1" applyFont="1" applyFill="1" applyBorder="1" applyProtection="1"/>
    <xf numFmtId="0" fontId="0" fillId="8" borderId="4" xfId="0" applyFill="1" applyBorder="1" applyAlignment="1">
      <alignment horizontal="left" indent="2"/>
    </xf>
    <xf numFmtId="0" fontId="0" fillId="8" borderId="10" xfId="0" applyFill="1" applyBorder="1"/>
    <xf numFmtId="0" fontId="0" fillId="8" borderId="10" xfId="0" applyFill="1" applyBorder="1" applyAlignment="1">
      <alignment horizontal="left" indent="2"/>
    </xf>
    <xf numFmtId="0" fontId="0" fillId="8" borderId="11" xfId="0" applyFill="1" applyBorder="1" applyAlignment="1">
      <alignment horizontal="left" indent="2"/>
    </xf>
    <xf numFmtId="0" fontId="1" fillId="8" borderId="10" xfId="0" applyFont="1" applyFill="1" applyBorder="1" applyAlignment="1">
      <alignment horizontal="left"/>
    </xf>
    <xf numFmtId="0" fontId="0" fillId="8" borderId="10" xfId="0" applyFill="1" applyBorder="1" applyAlignment="1">
      <alignment horizontal="left"/>
    </xf>
    <xf numFmtId="0" fontId="1" fillId="8" borderId="1" xfId="0" applyFont="1" applyFill="1" applyBorder="1"/>
    <xf numFmtId="0" fontId="0" fillId="0" borderId="13" xfId="0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8" borderId="0" xfId="0" applyFill="1" applyAlignment="1">
      <alignment horizontal="left" vertical="top" wrapText="1"/>
    </xf>
    <xf numFmtId="0" fontId="0" fillId="8" borderId="9" xfId="0" applyFill="1" applyBorder="1"/>
    <xf numFmtId="3" fontId="0" fillId="8" borderId="9" xfId="0" applyNumberFormat="1" applyFill="1" applyBorder="1" applyAlignment="1">
      <alignment horizontal="left" wrapText="1"/>
    </xf>
    <xf numFmtId="3" fontId="0" fillId="8" borderId="9" xfId="0" applyNumberFormat="1" applyFill="1" applyBorder="1" applyAlignment="1">
      <alignment horizontal="center" wrapText="1"/>
    </xf>
    <xf numFmtId="4" fontId="0" fillId="8" borderId="5" xfId="2" applyNumberFormat="1" applyFont="1" applyFill="1" applyBorder="1" applyProtection="1"/>
    <xf numFmtId="165" fontId="0" fillId="8" borderId="1" xfId="2" applyNumberFormat="1" applyFont="1" applyFill="1" applyBorder="1" applyProtection="1"/>
    <xf numFmtId="165" fontId="0" fillId="8" borderId="1" xfId="0" applyNumberFormat="1" applyFill="1" applyBorder="1"/>
    <xf numFmtId="4" fontId="0" fillId="8" borderId="10" xfId="2" applyNumberFormat="1" applyFont="1" applyFill="1" applyBorder="1" applyProtection="1"/>
    <xf numFmtId="3" fontId="0" fillId="8" borderId="8" xfId="2" applyNumberFormat="1" applyFont="1" applyFill="1" applyBorder="1" applyProtection="1"/>
    <xf numFmtId="3" fontId="0" fillId="8" borderId="11" xfId="2" applyNumberFormat="1" applyFont="1" applyFill="1" applyBorder="1" applyProtection="1"/>
    <xf numFmtId="4" fontId="0" fillId="8" borderId="11" xfId="2" applyNumberFormat="1" applyFont="1" applyFill="1" applyBorder="1" applyProtection="1"/>
    <xf numFmtId="4" fontId="0" fillId="8" borderId="8" xfId="2" applyNumberFormat="1" applyFont="1" applyFill="1" applyBorder="1" applyProtection="1"/>
    <xf numFmtId="0" fontId="0" fillId="7" borderId="9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7" borderId="14" xfId="0" applyFill="1" applyBorder="1" applyAlignment="1">
      <alignment horizontal="center" wrapText="1"/>
    </xf>
    <xf numFmtId="0" fontId="0" fillId="8" borderId="12" xfId="0" applyFill="1" applyBorder="1"/>
    <xf numFmtId="1" fontId="0" fillId="8" borderId="12" xfId="0" applyNumberFormat="1" applyFill="1" applyBorder="1"/>
    <xf numFmtId="2" fontId="0" fillId="8" borderId="12" xfId="0" applyNumberFormat="1" applyFill="1" applyBorder="1"/>
    <xf numFmtId="2" fontId="0" fillId="8" borderId="9" xfId="0" applyNumberFormat="1" applyFill="1" applyBorder="1"/>
    <xf numFmtId="1" fontId="0" fillId="8" borderId="13" xfId="0" applyNumberFormat="1" applyFill="1" applyBorder="1"/>
    <xf numFmtId="0" fontId="0" fillId="8" borderId="13" xfId="0" applyFill="1" applyBorder="1"/>
    <xf numFmtId="1" fontId="0" fillId="8" borderId="9" xfId="0" applyNumberFormat="1" applyFill="1" applyBorder="1"/>
    <xf numFmtId="2" fontId="0" fillId="8" borderId="13" xfId="0" applyNumberFormat="1" applyFill="1" applyBorder="1"/>
    <xf numFmtId="1" fontId="0" fillId="8" borderId="14" xfId="0" applyNumberFormat="1" applyFill="1" applyBorder="1"/>
    <xf numFmtId="0" fontId="0" fillId="8" borderId="4" xfId="0" applyFill="1" applyBorder="1"/>
    <xf numFmtId="1" fontId="0" fillId="8" borderId="4" xfId="0" applyNumberFormat="1" applyFill="1" applyBorder="1"/>
    <xf numFmtId="2" fontId="0" fillId="8" borderId="4" xfId="0" applyNumberFormat="1" applyFill="1" applyBorder="1"/>
    <xf numFmtId="2" fontId="0" fillId="8" borderId="10" xfId="0" applyNumberFormat="1" applyFill="1" applyBorder="1"/>
    <xf numFmtId="1" fontId="0" fillId="8" borderId="0" xfId="0" applyNumberFormat="1" applyFill="1"/>
    <xf numFmtId="0" fontId="0" fillId="8" borderId="0" xfId="0" applyFill="1"/>
    <xf numFmtId="1" fontId="0" fillId="8" borderId="10" xfId="0" applyNumberFormat="1" applyFill="1" applyBorder="1"/>
    <xf numFmtId="2" fontId="0" fillId="8" borderId="0" xfId="0" applyNumberFormat="1" applyFill="1"/>
    <xf numFmtId="1" fontId="0" fillId="8" borderId="5" xfId="0" applyNumberFormat="1" applyFill="1" applyBorder="1"/>
    <xf numFmtId="0" fontId="0" fillId="8" borderId="6" xfId="0" applyFill="1" applyBorder="1"/>
    <xf numFmtId="1" fontId="0" fillId="8" borderId="6" xfId="0" applyNumberFormat="1" applyFill="1" applyBorder="1"/>
    <xf numFmtId="2" fontId="0" fillId="8" borderId="6" xfId="0" applyNumberFormat="1" applyFill="1" applyBorder="1"/>
    <xf numFmtId="2" fontId="0" fillId="8" borderId="11" xfId="0" applyNumberFormat="1" applyFill="1" applyBorder="1"/>
    <xf numFmtId="1" fontId="0" fillId="8" borderId="7" xfId="0" applyNumberFormat="1" applyFill="1" applyBorder="1"/>
    <xf numFmtId="1" fontId="0" fillId="8" borderId="11" xfId="0" applyNumberFormat="1" applyFill="1" applyBorder="1"/>
    <xf numFmtId="2" fontId="0" fillId="8" borderId="7" xfId="0" applyNumberFormat="1" applyFill="1" applyBorder="1"/>
    <xf numFmtId="1" fontId="0" fillId="8" borderId="8" xfId="0" applyNumberFormat="1" applyFill="1" applyBorder="1"/>
    <xf numFmtId="0" fontId="7" fillId="0" borderId="0" xfId="1" applyFill="1" applyProtection="1"/>
    <xf numFmtId="0" fontId="1" fillId="5" borderId="9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0" xfId="0" applyFont="1" applyFill="1" applyBorder="1" applyAlignment="1">
      <alignment vertical="center"/>
    </xf>
    <xf numFmtId="0" fontId="1" fillId="5" borderId="10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5" borderId="1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vertical="top"/>
    </xf>
    <xf numFmtId="0" fontId="1" fillId="6" borderId="10" xfId="0" applyFont="1" applyFill="1" applyBorder="1" applyAlignment="1">
      <alignment vertical="top"/>
    </xf>
    <xf numFmtId="0" fontId="1" fillId="6" borderId="5" xfId="0" applyFont="1" applyFill="1" applyBorder="1" applyAlignment="1">
      <alignment horizontal="right" vertical="top"/>
    </xf>
    <xf numFmtId="0" fontId="6" fillId="4" borderId="10" xfId="0" applyFont="1" applyFill="1" applyBorder="1" applyAlignment="1">
      <alignment horizontal="left" vertical="top"/>
    </xf>
    <xf numFmtId="0" fontId="0" fillId="4" borderId="10" xfId="0" applyFill="1" applyBorder="1" applyAlignment="1">
      <alignment horizontal="right" vertical="top"/>
    </xf>
    <xf numFmtId="0" fontId="0" fillId="4" borderId="5" xfId="0" applyFill="1" applyBorder="1" applyAlignment="1">
      <alignment horizontal="right" vertical="top"/>
    </xf>
    <xf numFmtId="0" fontId="0" fillId="4" borderId="1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11" xfId="0" applyFill="1" applyBorder="1" applyAlignment="1">
      <alignment horizontal="right" vertical="top"/>
    </xf>
    <xf numFmtId="0" fontId="0" fillId="4" borderId="8" xfId="0" applyFill="1" applyBorder="1" applyAlignment="1">
      <alignment horizontal="right" vertical="top"/>
    </xf>
    <xf numFmtId="0" fontId="0" fillId="6" borderId="14" xfId="0" applyFill="1" applyBorder="1" applyAlignment="1">
      <alignment horizontal="right" vertical="top"/>
    </xf>
    <xf numFmtId="0" fontId="0" fillId="6" borderId="5" xfId="0" applyFill="1" applyBorder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1" fillId="5" borderId="13" xfId="0" applyFont="1" applyFill="1" applyBorder="1"/>
    <xf numFmtId="0" fontId="1" fillId="5" borderId="13" xfId="0" applyFont="1" applyFill="1" applyBorder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 indent="1"/>
    </xf>
    <xf numFmtId="0" fontId="0" fillId="4" borderId="10" xfId="0" applyFill="1" applyBorder="1" applyAlignment="1">
      <alignment horizontal="right" vertical="top" wrapText="1" indent="1"/>
    </xf>
    <xf numFmtId="0" fontId="0" fillId="4" borderId="0" xfId="0" applyFill="1" applyAlignment="1">
      <alignment horizontal="right" vertical="top" wrapText="1" indent="1"/>
    </xf>
    <xf numFmtId="0" fontId="1" fillId="4" borderId="10" xfId="0" applyFont="1" applyFill="1" applyBorder="1" applyAlignment="1">
      <alignment horizontal="right" vertical="top" wrapText="1" indent="1"/>
    </xf>
    <xf numFmtId="0" fontId="0" fillId="4" borderId="7" xfId="0" applyFill="1" applyBorder="1" applyAlignment="1">
      <alignment horizontal="left" vertical="top" wrapText="1" indent="1"/>
    </xf>
    <xf numFmtId="0" fontId="0" fillId="4" borderId="11" xfId="0" applyFill="1" applyBorder="1" applyAlignment="1">
      <alignment horizontal="right" vertical="top" wrapText="1" indent="1"/>
    </xf>
    <xf numFmtId="0" fontId="0" fillId="4" borderId="7" xfId="0" applyFill="1" applyBorder="1" applyAlignment="1">
      <alignment horizontal="right" vertical="top" wrapText="1" indent="1"/>
    </xf>
    <xf numFmtId="0" fontId="1" fillId="0" borderId="0" xfId="0" applyFont="1" applyAlignment="1">
      <alignment horizontal="center" wrapText="1"/>
    </xf>
    <xf numFmtId="0" fontId="1" fillId="6" borderId="9" xfId="0" applyFont="1" applyFill="1" applyBorder="1" applyAlignment="1">
      <alignment vertical="top" wrapText="1"/>
    </xf>
    <xf numFmtId="0" fontId="1" fillId="6" borderId="9" xfId="0" applyFont="1" applyFill="1" applyBorder="1" applyAlignment="1">
      <alignment horizontal="left" vertical="top" wrapText="1" indent="1"/>
    </xf>
    <xf numFmtId="0" fontId="0" fillId="0" borderId="0" xfId="0" applyAlignment="1">
      <alignment horizontal="right" vertical="top" wrapText="1" indent="1"/>
    </xf>
    <xf numFmtId="0" fontId="0" fillId="4" borderId="10" xfId="0" applyFill="1" applyBorder="1" applyAlignment="1">
      <alignment horizontal="left" vertical="top" wrapText="1" indent="1"/>
    </xf>
    <xf numFmtId="0" fontId="1" fillId="6" borderId="9" xfId="0" applyFont="1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 indent="1"/>
    </xf>
    <xf numFmtId="164" fontId="0" fillId="0" borderId="0" xfId="0" applyNumberFormat="1"/>
    <xf numFmtId="0" fontId="1" fillId="6" borderId="12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 indent="1"/>
    </xf>
    <xf numFmtId="0" fontId="0" fillId="4" borderId="6" xfId="0" applyFill="1" applyBorder="1" applyAlignment="1">
      <alignment horizontal="left" vertical="top" wrapText="1" indent="1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left" vertical="top"/>
    </xf>
    <xf numFmtId="164" fontId="0" fillId="4" borderId="10" xfId="0" applyNumberFormat="1" applyFill="1" applyBorder="1" applyAlignment="1">
      <alignment horizontal="right" vertical="top"/>
    </xf>
    <xf numFmtId="164" fontId="0" fillId="4" borderId="5" xfId="0" applyNumberFormat="1" applyFill="1" applyBorder="1" applyAlignment="1">
      <alignment horizontal="right" vertical="top"/>
    </xf>
    <xf numFmtId="0" fontId="0" fillId="4" borderId="6" xfId="0" applyFill="1" applyBorder="1" applyAlignment="1">
      <alignment horizontal="left" vertical="top"/>
    </xf>
    <xf numFmtId="164" fontId="0" fillId="4" borderId="11" xfId="0" applyNumberFormat="1" applyFill="1" applyBorder="1" applyAlignment="1">
      <alignment horizontal="right" vertical="top"/>
    </xf>
    <xf numFmtId="164" fontId="0" fillId="4" borderId="8" xfId="0" applyNumberFormat="1" applyFill="1" applyBorder="1" applyAlignment="1">
      <alignment horizontal="right" vertical="top"/>
    </xf>
    <xf numFmtId="0" fontId="1" fillId="5" borderId="2" xfId="0" applyFont="1" applyFill="1" applyBorder="1"/>
    <xf numFmtId="0" fontId="1" fillId="5" borderId="15" xfId="0" applyFont="1" applyFill="1" applyBorder="1"/>
    <xf numFmtId="0" fontId="1" fillId="5" borderId="3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5" borderId="1" xfId="0" applyFont="1" applyFill="1" applyBorder="1"/>
    <xf numFmtId="0" fontId="0" fillId="4" borderId="9" xfId="0" applyFill="1" applyBorder="1"/>
    <xf numFmtId="0" fontId="0" fillId="4" borderId="10" xfId="0" applyFill="1" applyBorder="1"/>
    <xf numFmtId="166" fontId="0" fillId="4" borderId="11" xfId="0" applyNumberFormat="1" applyFill="1" applyBorder="1"/>
    <xf numFmtId="3" fontId="0" fillId="3" borderId="9" xfId="0" applyNumberFormat="1" applyFill="1" applyBorder="1" applyProtection="1">
      <protection locked="0"/>
    </xf>
    <xf numFmtId="3" fontId="0" fillId="3" borderId="10" xfId="0" applyNumberForma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3" fontId="0" fillId="8" borderId="9" xfId="0" applyNumberFormat="1" applyFill="1" applyBorder="1"/>
    <xf numFmtId="3" fontId="0" fillId="2" borderId="9" xfId="0" applyNumberFormat="1" applyFill="1" applyBorder="1" applyProtection="1">
      <protection locked="0"/>
    </xf>
    <xf numFmtId="3" fontId="0" fillId="8" borderId="10" xfId="0" applyNumberFormat="1" applyFill="1" applyBorder="1"/>
    <xf numFmtId="3" fontId="0" fillId="8" borderId="11" xfId="0" applyNumberFormat="1" applyFill="1" applyBorder="1"/>
    <xf numFmtId="0" fontId="15" fillId="0" borderId="0" xfId="0" applyFont="1" applyAlignment="1">
      <alignment horizontal="left" vertical="top"/>
    </xf>
    <xf numFmtId="0" fontId="1" fillId="5" borderId="9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1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cfr.gov/cgi-bin/text-idx?tpl=/ecfrbrowse/Title40/40cfr98_main_02.tpl" TargetMode="External"/><Relationship Id="rId1" Type="http://schemas.openxmlformats.org/officeDocument/2006/relationships/hyperlink" Target="https://apps.leg.wa.gov/WAC/default.aspx?cite=173-441&amp;full=tru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64"/>
  <sheetViews>
    <sheetView topLeftCell="A26" zoomScale="81" zoomScaleNormal="130" workbookViewId="0">
      <selection activeCell="C7" sqref="C7"/>
    </sheetView>
  </sheetViews>
  <sheetFormatPr defaultColWidth="8.88671875" defaultRowHeight="14.4" x14ac:dyDescent="0.3"/>
  <cols>
    <col min="1" max="1" width="64.88671875" style="59" customWidth="1"/>
    <col min="2" max="2" width="55.109375" style="59" customWidth="1"/>
    <col min="3" max="3" width="21" style="59" customWidth="1"/>
    <col min="4" max="4" width="7.44140625" style="59" customWidth="1"/>
    <col min="5" max="5" width="12.109375" style="59" customWidth="1"/>
    <col min="6" max="6" width="17.33203125" style="59" bestFit="1" customWidth="1"/>
    <col min="7" max="7" width="74" style="59" customWidth="1"/>
    <col min="8" max="16384" width="8.88671875" style="59"/>
  </cols>
  <sheetData>
    <row r="1" spans="1:8" ht="18" x14ac:dyDescent="0.35">
      <c r="A1" s="64" t="s">
        <v>210</v>
      </c>
      <c r="B1"/>
      <c r="C1"/>
      <c r="D1"/>
      <c r="E1" s="1" t="s">
        <v>1</v>
      </c>
      <c r="F1"/>
      <c r="G1"/>
    </row>
    <row r="2" spans="1:8" x14ac:dyDescent="0.3">
      <c r="A2"/>
      <c r="B2"/>
      <c r="C2"/>
      <c r="D2" s="65"/>
      <c r="E2" s="66" t="s">
        <v>313</v>
      </c>
      <c r="F2"/>
      <c r="G2"/>
    </row>
    <row r="3" spans="1:8" x14ac:dyDescent="0.3">
      <c r="A3" s="67" t="s">
        <v>0</v>
      </c>
      <c r="B3" s="68"/>
      <c r="C3"/>
      <c r="D3"/>
      <c r="E3" s="69" t="s">
        <v>314</v>
      </c>
      <c r="F3"/>
      <c r="G3"/>
    </row>
    <row r="4" spans="1:8" ht="49.2" customHeight="1" x14ac:dyDescent="0.3">
      <c r="A4" s="70" t="s">
        <v>302</v>
      </c>
      <c r="B4" s="71"/>
      <c r="C4"/>
      <c r="D4"/>
      <c r="E4" s="255" t="s">
        <v>316</v>
      </c>
      <c r="F4"/>
      <c r="G4"/>
    </row>
    <row r="5" spans="1:8" ht="16.95" customHeight="1" x14ac:dyDescent="0.3">
      <c r="A5" s="72"/>
      <c r="B5" s="72"/>
      <c r="C5"/>
      <c r="D5"/>
      <c r="E5"/>
      <c r="F5"/>
      <c r="G5"/>
    </row>
    <row r="6" spans="1:8" ht="16.2" customHeight="1" x14ac:dyDescent="0.3">
      <c r="A6" s="73" t="s">
        <v>299</v>
      </c>
      <c r="B6" s="74"/>
      <c r="C6"/>
      <c r="D6"/>
      <c r="E6"/>
      <c r="F6"/>
      <c r="G6"/>
    </row>
    <row r="7" spans="1:8" ht="73.95" customHeight="1" x14ac:dyDescent="0.3">
      <c r="A7" s="75" t="s">
        <v>300</v>
      </c>
      <c r="B7" s="76"/>
      <c r="C7"/>
      <c r="D7"/>
      <c r="E7"/>
      <c r="F7"/>
      <c r="G7"/>
    </row>
    <row r="8" spans="1:8" x14ac:dyDescent="0.3">
      <c r="A8" s="72"/>
      <c r="B8" s="72"/>
      <c r="C8"/>
      <c r="D8"/>
      <c r="E8"/>
      <c r="F8"/>
      <c r="G8"/>
    </row>
    <row r="9" spans="1:8" x14ac:dyDescent="0.3">
      <c r="A9" s="73" t="s">
        <v>212</v>
      </c>
      <c r="B9" s="77"/>
      <c r="C9" s="78"/>
      <c r="D9"/>
      <c r="E9" s="79" t="s">
        <v>251</v>
      </c>
      <c r="F9" s="80"/>
      <c r="G9" s="81"/>
    </row>
    <row r="10" spans="1:8" x14ac:dyDescent="0.3">
      <c r="A10" s="82" t="s">
        <v>185</v>
      </c>
      <c r="B10" s="83"/>
      <c r="C10" s="78"/>
      <c r="D10"/>
      <c r="E10" s="47" t="str">
        <f>IF(Validation!B9="Fail","Enter a value for all green cells (B19-B24, B30, B38, B41, B43, B47-B49) on this tab.  Enter NA if applicable.","")</f>
        <v>Enter a value for all green cells (B19-B24, B30, B38, B41, B43, B47-B49) on this tab.  Enter NA if applicable.</v>
      </c>
      <c r="F10" s="55"/>
      <c r="G10" s="48"/>
    </row>
    <row r="11" spans="1:8" x14ac:dyDescent="0.3">
      <c r="A11" s="84" t="s">
        <v>191</v>
      </c>
      <c r="B11" s="85"/>
      <c r="C11" s="78"/>
      <c r="D11" t="s">
        <v>16</v>
      </c>
      <c r="E11" s="47" t="str">
        <f>IF(Validation!B10="Fail","Make sure ownership in F30-F35 adds to 100%.","")</f>
        <v>Make sure ownership in F30-F35 adds to 100%.</v>
      </c>
      <c r="F11" s="55"/>
      <c r="G11" s="48"/>
    </row>
    <row r="12" spans="1:8" x14ac:dyDescent="0.3">
      <c r="A12" s="75" t="s">
        <v>217</v>
      </c>
      <c r="B12" s="76"/>
      <c r="C12" s="78"/>
      <c r="D12" t="s">
        <v>16</v>
      </c>
      <c r="E12" s="47" t="str">
        <f>IF(Validation!B19="Pass","","Negative values detected. Check values reported in the Aggregate Products Tab.")</f>
        <v/>
      </c>
      <c r="F12" s="55"/>
      <c r="G12" s="48"/>
    </row>
    <row r="13" spans="1:8" x14ac:dyDescent="0.3">
      <c r="A13"/>
      <c r="B13" s="86"/>
      <c r="C13" s="87"/>
      <c r="D13"/>
      <c r="E13" s="47" t="str">
        <f>IF(Validation!B20="Pass","","Check LPG supplied in WA in Aggregate products tab, cell A72.")</f>
        <v/>
      </c>
      <c r="F13" s="55"/>
      <c r="G13" s="48"/>
      <c r="H13" s="60"/>
    </row>
    <row r="14" spans="1:8" x14ac:dyDescent="0.3">
      <c r="A14" s="67" t="s">
        <v>2</v>
      </c>
      <c r="B14" s="68"/>
      <c r="C14"/>
      <c r="D14"/>
      <c r="E14" s="49" t="str">
        <f>IF(Validation!B11="Fail", "Invalid NAICS code. Enter a valid NAICS code.", "")</f>
        <v>Invalid NAICS code. Enter a valid NAICS code.</v>
      </c>
      <c r="F14" s="54"/>
      <c r="G14" s="50"/>
    </row>
    <row r="15" spans="1:8" x14ac:dyDescent="0.3">
      <c r="A15" s="8" t="s">
        <v>154</v>
      </c>
      <c r="B15" s="88"/>
      <c r="C15" t="s">
        <v>16</v>
      </c>
      <c r="D15"/>
      <c r="E15" s="49" t="str">
        <f>IF(Validation!B12="Fail", "Please confirm that you understand the information in cells A47-A49, and that the tool has been filled out accordingly.", "")</f>
        <v>Please confirm that you understand the information in cells A47-A49, and that the tool has been filled out accordingly.</v>
      </c>
      <c r="F15" s="54"/>
      <c r="G15" s="50"/>
    </row>
    <row r="16" spans="1:8" x14ac:dyDescent="0.3">
      <c r="A16" s="9" t="s">
        <v>155</v>
      </c>
      <c r="B16" s="89"/>
      <c r="C16" t="s">
        <v>16</v>
      </c>
      <c r="D16"/>
      <c r="E16" s="49" t="str">
        <f>IF(OR(Validation!B23="Fail", Validation!B24="Fail"), "Check that LPG volumes are reported into their component parts. ", "")</f>
        <v/>
      </c>
      <c r="F16" s="90"/>
      <c r="G16" s="91"/>
    </row>
    <row r="17" spans="1:7" x14ac:dyDescent="0.3">
      <c r="A17" s="1"/>
      <c r="B17"/>
      <c r="C17"/>
      <c r="D17"/>
      <c r="E17" s="51" t="str">
        <f ca="1">IF(Validation!B22="Fail", "External links detected. Please enter values directly into the tool.", "")</f>
        <v/>
      </c>
      <c r="F17" s="92"/>
      <c r="G17" s="89"/>
    </row>
    <row r="18" spans="1:7" x14ac:dyDescent="0.3">
      <c r="A18" s="67" t="s">
        <v>153</v>
      </c>
      <c r="B18" s="68"/>
    </row>
    <row r="19" spans="1:7" x14ac:dyDescent="0.3">
      <c r="A19" s="93" t="s">
        <v>192</v>
      </c>
      <c r="B19" s="10"/>
      <c r="C19" s="61"/>
    </row>
    <row r="20" spans="1:7" x14ac:dyDescent="0.3">
      <c r="A20" s="94" t="s">
        <v>156</v>
      </c>
      <c r="B20" s="11"/>
    </row>
    <row r="21" spans="1:7" x14ac:dyDescent="0.3">
      <c r="A21" s="93" t="s">
        <v>193</v>
      </c>
      <c r="B21" s="12"/>
      <c r="C21" s="60"/>
      <c r="D21" s="59" t="s">
        <v>16</v>
      </c>
    </row>
    <row r="22" spans="1:7" x14ac:dyDescent="0.3">
      <c r="A22" s="93" t="s">
        <v>213</v>
      </c>
      <c r="B22" s="3" t="str">
        <f>IF(B21="","",DATE(B21,1,1))</f>
        <v/>
      </c>
      <c r="D22" s="59" t="s">
        <v>16</v>
      </c>
    </row>
    <row r="23" spans="1:7" x14ac:dyDescent="0.3">
      <c r="A23" s="93" t="s">
        <v>214</v>
      </c>
      <c r="B23" s="3" t="str">
        <f>IF(B21="","",DATE(B21,12,31))</f>
        <v/>
      </c>
      <c r="D23" s="59" t="s">
        <v>16</v>
      </c>
      <c r="G23" s="62"/>
    </row>
    <row r="24" spans="1:7" x14ac:dyDescent="0.3">
      <c r="A24" s="93" t="s">
        <v>194</v>
      </c>
      <c r="B24" s="11"/>
      <c r="D24" s="59" t="s">
        <v>16</v>
      </c>
      <c r="G24" s="62"/>
    </row>
    <row r="25" spans="1:7" x14ac:dyDescent="0.3">
      <c r="A25" s="93" t="s">
        <v>195</v>
      </c>
      <c r="B25" s="53"/>
    </row>
    <row r="26" spans="1:7" ht="123" customHeight="1" x14ac:dyDescent="0.3">
      <c r="A26" s="95" t="s">
        <v>152</v>
      </c>
      <c r="B26" s="13"/>
    </row>
    <row r="27" spans="1:7" x14ac:dyDescent="0.3">
      <c r="A27"/>
      <c r="B27"/>
      <c r="C27"/>
      <c r="D27"/>
      <c r="E27"/>
      <c r="F27"/>
      <c r="G27"/>
    </row>
    <row r="28" spans="1:7" x14ac:dyDescent="0.3">
      <c r="A28" s="67" t="s">
        <v>259</v>
      </c>
      <c r="B28" s="96"/>
      <c r="C28" s="96"/>
      <c r="D28" s="96"/>
      <c r="E28" s="96"/>
      <c r="F28" s="96"/>
      <c r="G28" s="97"/>
    </row>
    <row r="29" spans="1:7" x14ac:dyDescent="0.3">
      <c r="A29" s="98" t="s">
        <v>196</v>
      </c>
      <c r="B29" s="98" t="s">
        <v>205</v>
      </c>
      <c r="C29" s="98" t="s">
        <v>197</v>
      </c>
      <c r="D29" s="98" t="s">
        <v>198</v>
      </c>
      <c r="E29" s="98" t="s">
        <v>206</v>
      </c>
      <c r="F29" s="98" t="s">
        <v>199</v>
      </c>
      <c r="G29" s="98" t="s">
        <v>200</v>
      </c>
    </row>
    <row r="30" spans="1:7" x14ac:dyDescent="0.3">
      <c r="A30" s="12"/>
      <c r="B30" s="12"/>
      <c r="C30" s="12"/>
      <c r="D30" s="12"/>
      <c r="E30" s="12"/>
      <c r="F30" s="14"/>
      <c r="G30" s="12"/>
    </row>
    <row r="31" spans="1:7" x14ac:dyDescent="0.3">
      <c r="A31" s="29"/>
      <c r="B31" s="29"/>
      <c r="C31" s="29"/>
      <c r="D31" s="29"/>
      <c r="E31" s="29"/>
      <c r="F31" s="30"/>
      <c r="G31" s="29"/>
    </row>
    <row r="32" spans="1:7" x14ac:dyDescent="0.3">
      <c r="A32" s="29"/>
      <c r="B32" s="29"/>
      <c r="C32" s="29"/>
      <c r="D32" s="29"/>
      <c r="E32" s="29"/>
      <c r="F32" s="30"/>
      <c r="G32" s="29"/>
    </row>
    <row r="33" spans="1:7" x14ac:dyDescent="0.3">
      <c r="A33" s="29"/>
      <c r="B33" s="29"/>
      <c r="C33" s="29"/>
      <c r="D33" s="29"/>
      <c r="E33" s="29"/>
      <c r="F33" s="30"/>
      <c r="G33" s="29"/>
    </row>
    <row r="34" spans="1:7" x14ac:dyDescent="0.3">
      <c r="A34" s="29"/>
      <c r="B34" s="29"/>
      <c r="C34" s="29"/>
      <c r="D34" s="29"/>
      <c r="E34" s="29"/>
      <c r="F34" s="30"/>
      <c r="G34" s="29"/>
    </row>
    <row r="35" spans="1:7" x14ac:dyDescent="0.3">
      <c r="A35" s="29"/>
      <c r="B35" s="29"/>
      <c r="C35" s="29"/>
      <c r="D35" s="29"/>
      <c r="E35" s="29"/>
      <c r="F35" s="30"/>
      <c r="G35" s="29"/>
    </row>
    <row r="36" spans="1:7" ht="15.6" x14ac:dyDescent="0.3">
      <c r="A36" s="63"/>
    </row>
    <row r="37" spans="1:7" x14ac:dyDescent="0.3">
      <c r="A37" s="99" t="s">
        <v>204</v>
      </c>
      <c r="B37" s="100"/>
    </row>
    <row r="38" spans="1:7" x14ac:dyDescent="0.3">
      <c r="A38" s="71" t="s">
        <v>262</v>
      </c>
      <c r="B38" s="31"/>
    </row>
    <row r="39" spans="1:7" ht="29.4" customHeight="1" x14ac:dyDescent="0.3">
      <c r="A39" s="101" t="s">
        <v>264</v>
      </c>
      <c r="B39" s="32"/>
    </row>
    <row r="40" spans="1:7" ht="28.8" x14ac:dyDescent="0.3">
      <c r="A40" s="101" t="s">
        <v>265</v>
      </c>
      <c r="B40" s="32"/>
    </row>
    <row r="41" spans="1:7" ht="28.8" x14ac:dyDescent="0.3">
      <c r="A41" s="71" t="s">
        <v>260</v>
      </c>
      <c r="B41" s="31"/>
    </row>
    <row r="42" spans="1:7" x14ac:dyDescent="0.3">
      <c r="A42" s="102" t="s">
        <v>261</v>
      </c>
      <c r="B42" s="46"/>
    </row>
    <row r="43" spans="1:7" ht="28.8" x14ac:dyDescent="0.3">
      <c r="A43" s="76" t="s">
        <v>263</v>
      </c>
      <c r="B43" s="31"/>
    </row>
    <row r="44" spans="1:7" ht="28.8" x14ac:dyDescent="0.3">
      <c r="A44" s="76" t="s">
        <v>201</v>
      </c>
      <c r="B44" s="32"/>
    </row>
    <row r="46" spans="1:7" x14ac:dyDescent="0.3">
      <c r="A46" s="99" t="s">
        <v>266</v>
      </c>
      <c r="B46" s="100"/>
    </row>
    <row r="47" spans="1:7" ht="57.6" x14ac:dyDescent="0.3">
      <c r="A47" s="103" t="s">
        <v>307</v>
      </c>
      <c r="B47" s="12"/>
    </row>
    <row r="48" spans="1:7" ht="28.8" x14ac:dyDescent="0.3">
      <c r="A48" s="103" t="s">
        <v>309</v>
      </c>
      <c r="B48" s="12"/>
    </row>
    <row r="49" spans="1:2" ht="43.2" x14ac:dyDescent="0.3">
      <c r="A49" s="104" t="s">
        <v>308</v>
      </c>
      <c r="B49" s="11"/>
    </row>
    <row r="50" spans="1:2" x14ac:dyDescent="0.3">
      <c r="A50" s="105"/>
      <c r="B50"/>
    </row>
    <row r="51" spans="1:2" x14ac:dyDescent="0.3">
      <c r="A51" s="106" t="s">
        <v>274</v>
      </c>
      <c r="B51" s="106"/>
    </row>
    <row r="52" spans="1:2" ht="18" customHeight="1" x14ac:dyDescent="0.35">
      <c r="A52" s="103" t="s">
        <v>275</v>
      </c>
      <c r="B52" s="107">
        <f>'Aggregate products'!W67</f>
        <v>0</v>
      </c>
    </row>
    <row r="53" spans="1:2" ht="15.6" x14ac:dyDescent="0.35">
      <c r="A53" s="103" t="s">
        <v>276</v>
      </c>
      <c r="B53" s="107">
        <f>'Aggregate products'!AC67</f>
        <v>0</v>
      </c>
    </row>
    <row r="55" spans="1:2" ht="16.2" customHeight="1" x14ac:dyDescent="0.3"/>
    <row r="57" spans="1:2" x14ac:dyDescent="0.3">
      <c r="A57" s="60"/>
      <c r="B57" s="60"/>
    </row>
    <row r="61" spans="1:2" ht="15" customHeight="1" x14ac:dyDescent="0.3"/>
    <row r="64" spans="1:2" ht="16.2" customHeight="1" x14ac:dyDescent="0.3"/>
  </sheetData>
  <sheetProtection algorithmName="SHA-512" hashValue="whWKoILGsSlMAd6hOH/2ux6S0Hy7CNe8mKguPsyzLo1cgtk0XaCP6kPdCAYd+W7eB0QXzRVfgZpFqmce7ZMItw==" saltValue="zF/daOIVz34PzxSXOFqChQ==" spinCount="100000" sheet="1" objects="1" scenarios="1"/>
  <conditionalFormatting sqref="A31:G31">
    <cfRule type="expression" dxfId="13" priority="25">
      <formula>$F$30&lt;1</formula>
    </cfRule>
  </conditionalFormatting>
  <conditionalFormatting sqref="A32:G32">
    <cfRule type="expression" dxfId="12" priority="24">
      <formula>($F$30+$F$31)&lt;1</formula>
    </cfRule>
  </conditionalFormatting>
  <conditionalFormatting sqref="A33:G33">
    <cfRule type="expression" dxfId="11" priority="18">
      <formula>($F$30+$F$31+$F$32)&lt;1</formula>
    </cfRule>
  </conditionalFormatting>
  <conditionalFormatting sqref="A34:G34">
    <cfRule type="expression" dxfId="10" priority="17">
      <formula>($F$30+$F$31+$F$32+$F$33)&lt;1</formula>
    </cfRule>
  </conditionalFormatting>
  <conditionalFormatting sqref="A35:G35">
    <cfRule type="expression" dxfId="9" priority="16">
      <formula>($F$30+$F$31+$F$32+$F$33+$F$34)&lt;1</formula>
    </cfRule>
    <cfRule type="expression" priority="20">
      <formula>($F$30+$F$31+$F$32+$F$33+$F$34)&lt;1</formula>
    </cfRule>
  </conditionalFormatting>
  <conditionalFormatting sqref="B39:B40">
    <cfRule type="expression" dxfId="8" priority="10">
      <formula>$B$38="yes"</formula>
    </cfRule>
  </conditionalFormatting>
  <conditionalFormatting sqref="B42">
    <cfRule type="expression" dxfId="7" priority="7">
      <formula>$B$41="yes"</formula>
    </cfRule>
    <cfRule type="expression" dxfId="6" priority="9">
      <formula>$B$27="yes"</formula>
    </cfRule>
  </conditionalFormatting>
  <conditionalFormatting sqref="B44">
    <cfRule type="expression" dxfId="5" priority="6">
      <formula>$B$43="yes"</formula>
    </cfRule>
    <cfRule type="expression" dxfId="4" priority="8">
      <formula>$B$33="yes"</formula>
    </cfRule>
  </conditionalFormatting>
  <conditionalFormatting sqref="E10:G17">
    <cfRule type="expression" dxfId="3" priority="1">
      <formula>$E10&lt;&gt;""</formula>
    </cfRule>
    <cfRule type="notContainsBlanks" dxfId="2" priority="27">
      <formula>LEN(TRIM(E10))&gt;0</formula>
    </cfRule>
  </conditionalFormatting>
  <dataValidations count="4">
    <dataValidation type="list" allowBlank="1" showInputMessage="1" showErrorMessage="1" sqref="B21" xr:uid="{00000000-0002-0000-0000-000000000000}">
      <formula1>"2024"</formula1>
    </dataValidation>
    <dataValidation type="decimal" allowBlank="1" showInputMessage="1" showErrorMessage="1" errorTitle="Error" error="Input decimal value of ownership." sqref="F30:F35" xr:uid="{00000000-0002-0000-0000-000001000000}">
      <formula1>0</formula1>
      <formula2>1</formula2>
    </dataValidation>
    <dataValidation type="list" allowBlank="1" showInputMessage="1" showErrorMessage="1" sqref="B38 B43 B41" xr:uid="{00000000-0002-0000-0000-000002000000}">
      <formula1>"yes, no"</formula1>
    </dataValidation>
    <dataValidation type="list" allowBlank="1" showInputMessage="1" showErrorMessage="1" sqref="B47:B49" xr:uid="{EE295359-50D5-45A0-A1EE-360E83A75487}">
      <formula1>"confirmed, not confirmed"</formula1>
    </dataValidation>
  </dataValidations>
  <hyperlinks>
    <hyperlink ref="A15" r:id="rId1" xr:uid="{00000000-0004-0000-0000-000000000000}"/>
    <hyperlink ref="A16" r:id="rId2" xr:uid="{00000000-0004-0000-0000-000001000000}"/>
  </hyperlinks>
  <pageMargins left="0.7" right="0.7" top="0.75" bottom="0.75" header="0.3" footer="0.3"/>
  <pageSetup orientation="portrait" horizontalDpi="90" verticalDpi="9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87"/>
  <sheetViews>
    <sheetView tabSelected="1" topLeftCell="A20" zoomScale="80" zoomScaleNormal="80" workbookViewId="0">
      <selection activeCell="AE76" sqref="AE76"/>
    </sheetView>
  </sheetViews>
  <sheetFormatPr defaultColWidth="8.88671875" defaultRowHeight="14.4" x14ac:dyDescent="0.3"/>
  <cols>
    <col min="1" max="1" width="44.33203125" style="59" customWidth="1"/>
    <col min="2" max="2" width="79.6640625" style="59" bestFit="1" customWidth="1"/>
    <col min="3" max="3" width="12.109375" style="59" customWidth="1"/>
    <col min="4" max="4" width="35.109375" style="59" customWidth="1"/>
    <col min="5" max="6" width="24.109375" style="59" customWidth="1"/>
    <col min="7" max="7" width="37" style="59" customWidth="1"/>
    <col min="8" max="8" width="19.33203125" style="59" customWidth="1"/>
    <col min="9" max="9" width="25.33203125" style="59" customWidth="1"/>
    <col min="10" max="10" width="16.6640625" style="59" customWidth="1"/>
    <col min="11" max="11" width="26" style="59" customWidth="1"/>
    <col min="12" max="12" width="32.109375" style="59" customWidth="1"/>
    <col min="13" max="13" width="35.33203125" style="59" customWidth="1"/>
    <col min="14" max="14" width="37.109375" style="59" customWidth="1"/>
    <col min="15" max="15" width="37.5546875" style="59" customWidth="1"/>
    <col min="16" max="16" width="32.6640625" style="59" customWidth="1"/>
    <col min="17" max="18" width="17.88671875" style="59" customWidth="1"/>
    <col min="19" max="19" width="16" style="59" bestFit="1" customWidth="1"/>
    <col min="20" max="20" width="18.6640625" style="59" bestFit="1" customWidth="1"/>
    <col min="21" max="21" width="11.109375" style="59" bestFit="1" customWidth="1"/>
    <col min="22" max="22" width="12.5546875" style="59" bestFit="1" customWidth="1"/>
    <col min="23" max="23" width="18.6640625" style="59" customWidth="1"/>
    <col min="24" max="25" width="17.88671875" style="59" customWidth="1"/>
    <col min="26" max="26" width="16" style="59" bestFit="1" customWidth="1"/>
    <col min="27" max="27" width="11.109375" style="59" bestFit="1" customWidth="1"/>
    <col min="28" max="28" width="12.5546875" style="59" bestFit="1" customWidth="1"/>
    <col min="29" max="29" width="18.6640625" style="59" customWidth="1"/>
    <col min="30" max="30" width="41.33203125" style="59" customWidth="1"/>
    <col min="31" max="31" width="45.109375" style="59" customWidth="1"/>
    <col min="32" max="16384" width="8.88671875" style="59"/>
  </cols>
  <sheetData>
    <row r="1" spans="1:32" ht="21" x14ac:dyDescent="0.4">
      <c r="A1" s="110" t="s">
        <v>303</v>
      </c>
      <c r="B1"/>
      <c r="C1"/>
      <c r="D1" s="111"/>
      <c r="E1" s="111"/>
      <c r="F1" s="111"/>
      <c r="G1" s="111"/>
      <c r="H1" s="111"/>
      <c r="I1" s="111"/>
      <c r="J1" s="111"/>
      <c r="K1" s="112" t="s">
        <v>301</v>
      </c>
      <c r="L1" s="112"/>
      <c r="M1" s="112"/>
      <c r="N1" s="112"/>
      <c r="O1" s="113"/>
      <c r="P1" s="114" t="s">
        <v>234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2" ht="115.2" x14ac:dyDescent="0.3">
      <c r="A2" s="115" t="s">
        <v>202</v>
      </c>
      <c r="B2" s="115" t="s">
        <v>218</v>
      </c>
      <c r="C2" s="116" t="s">
        <v>222</v>
      </c>
      <c r="D2" s="116" t="s">
        <v>235</v>
      </c>
      <c r="E2" s="116" t="s">
        <v>236</v>
      </c>
      <c r="F2" s="116" t="s">
        <v>255</v>
      </c>
      <c r="G2" s="116" t="s">
        <v>256</v>
      </c>
      <c r="H2" s="116" t="s">
        <v>271</v>
      </c>
      <c r="I2" s="116" t="s">
        <v>270</v>
      </c>
      <c r="J2" s="116" t="s">
        <v>272</v>
      </c>
      <c r="K2" s="116" t="s">
        <v>211</v>
      </c>
      <c r="L2" s="117" t="s">
        <v>203</v>
      </c>
      <c r="M2" s="117" t="s">
        <v>189</v>
      </c>
      <c r="N2" s="117" t="s">
        <v>190</v>
      </c>
      <c r="O2" s="117" t="s">
        <v>273</v>
      </c>
      <c r="P2" s="117" t="s">
        <v>221</v>
      </c>
      <c r="Q2" s="116" t="s">
        <v>237</v>
      </c>
      <c r="R2" s="116" t="s">
        <v>239</v>
      </c>
      <c r="S2" s="116" t="s">
        <v>225</v>
      </c>
      <c r="T2" s="118" t="s">
        <v>226</v>
      </c>
      <c r="U2" s="116" t="s">
        <v>227</v>
      </c>
      <c r="V2" s="116" t="s">
        <v>228</v>
      </c>
      <c r="W2" s="117" t="s">
        <v>229</v>
      </c>
      <c r="X2" s="116" t="s">
        <v>241</v>
      </c>
      <c r="Y2" s="116" t="s">
        <v>240</v>
      </c>
      <c r="Z2" s="116" t="s">
        <v>230</v>
      </c>
      <c r="AA2" s="116" t="s">
        <v>231</v>
      </c>
      <c r="AB2" s="116" t="s">
        <v>232</v>
      </c>
      <c r="AC2" s="117" t="s">
        <v>233</v>
      </c>
      <c r="AD2" s="117" t="s">
        <v>315</v>
      </c>
      <c r="AE2" s="116" t="s">
        <v>310</v>
      </c>
    </row>
    <row r="3" spans="1:32" x14ac:dyDescent="0.3">
      <c r="A3" s="119" t="s">
        <v>207</v>
      </c>
      <c r="B3" s="119"/>
      <c r="C3" s="119"/>
      <c r="D3" s="120"/>
      <c r="E3" s="121"/>
      <c r="F3" s="121"/>
      <c r="G3" s="121"/>
      <c r="H3" s="121"/>
      <c r="I3" s="121"/>
      <c r="J3" s="121"/>
      <c r="K3" s="122"/>
      <c r="L3" s="123"/>
      <c r="M3" s="123"/>
      <c r="N3" s="123"/>
      <c r="O3" s="123"/>
      <c r="P3" s="123"/>
      <c r="Q3" s="122"/>
      <c r="R3" s="122"/>
      <c r="S3" s="122"/>
      <c r="T3" s="124" t="str">
        <f>IF(S3&lt;&gt;"",0,"")</f>
        <v/>
      </c>
      <c r="U3" s="125"/>
      <c r="V3" s="125"/>
      <c r="W3" s="123"/>
      <c r="X3" s="122"/>
      <c r="Y3" s="122"/>
      <c r="Z3" s="122"/>
      <c r="AA3" s="125"/>
      <c r="AB3" s="125"/>
      <c r="AC3" s="123"/>
      <c r="AD3" s="123"/>
      <c r="AE3" s="126"/>
    </row>
    <row r="4" spans="1:32" x14ac:dyDescent="0.3">
      <c r="A4" s="127" t="str">
        <f>CONCATENATE(Reference!$A$24, " ", Reference!A25)</f>
        <v>CBOB—Summer Regular</v>
      </c>
      <c r="B4" s="128" t="s">
        <v>219</v>
      </c>
      <c r="C4" s="26">
        <v>0</v>
      </c>
      <c r="D4" s="16"/>
      <c r="E4" s="16"/>
      <c r="F4" s="17">
        <v>0</v>
      </c>
      <c r="G4" s="34">
        <f>SUM(H4:J4)</f>
        <v>0</v>
      </c>
      <c r="H4" s="16"/>
      <c r="I4" s="16"/>
      <c r="J4" s="16"/>
      <c r="K4" s="18"/>
      <c r="L4" s="18"/>
      <c r="M4" s="19"/>
      <c r="N4" s="18"/>
      <c r="O4" s="18"/>
      <c r="P4" s="19"/>
      <c r="Q4" s="34">
        <f>D4+E4-G4</f>
        <v>0</v>
      </c>
      <c r="R4" s="34">
        <f t="shared" ref="R4:R16" si="0">(D4+E4-G4)*C4</f>
        <v>0</v>
      </c>
      <c r="S4" s="34">
        <f>IF((Q4-R4)&gt;0,(Q4-R4)*Reference!D7,0)</f>
        <v>0</v>
      </c>
      <c r="T4" s="34">
        <f>IF((R4)&gt;0,(R4)*Reference!D7,0)</f>
        <v>0</v>
      </c>
      <c r="U4" s="140">
        <f>IF(Q4&gt;0, Q4*Reference!$B$195*(1/Reference!$A$209)*Reference!$A$210,0)</f>
        <v>0</v>
      </c>
      <c r="V4" s="140">
        <f>IF(Q4&gt;0,Q4*Reference!$C$195*(1/Reference!$A$209)*Reference!$A$210,0)</f>
        <v>0</v>
      </c>
      <c r="W4" s="34">
        <f>IFERROR(S4+T4+(U4*Reference!$B$220)+(V4*Reference!$B$221),"")</f>
        <v>0</v>
      </c>
      <c r="X4" s="34">
        <f>(D4+E4-G4-SUM(K4:O4))*(1-C4)</f>
        <v>0</v>
      </c>
      <c r="Y4" s="34">
        <f>(D4+E4-G4-SUM(K4:N4))*C4</f>
        <v>0</v>
      </c>
      <c r="Z4" s="34">
        <f>IF(X4&gt;0,(X4)*Reference!D7,0)</f>
        <v>0</v>
      </c>
      <c r="AA4" s="140">
        <f>IF((X4+Y4)&gt;0, (X4+Y4)*Reference!$B$195*(1/Reference!$A$209)*Reference!$A$210,0)</f>
        <v>0</v>
      </c>
      <c r="AB4" s="140">
        <f>IF((X4+Y4)&gt;0,(X4+Y4)*Reference!$C$195*(1/Reference!$A$209)*Reference!$A$210,0)</f>
        <v>0</v>
      </c>
      <c r="AC4" s="34">
        <f>IFERROR(Z4+(AA4*Reference!$B$220)+(AB4*Reference!$B$221),"")</f>
        <v>0</v>
      </c>
      <c r="AD4" s="34" t="str">
        <f>IF(AND(C4&gt;0, COUNTA(D4:O4)&gt;3), "Check to see if this applies to your operations.", "")</f>
        <v/>
      </c>
      <c r="AE4" s="34" t="str">
        <f>IF(AND((K4+L4+M4+N4+O4)&gt;0,(D4+E4-G4)&lt;(K4+L4+M4+N4+O4)),"Error: Col K-O exemptions exceed reported volume",IF((D4+E4-G4)&lt;0,"Error: net negative volume",""))</f>
        <v/>
      </c>
    </row>
    <row r="5" spans="1:32" x14ac:dyDescent="0.3">
      <c r="A5" s="129" t="str">
        <f>CONCATENATE(Reference!$A$24, " ", Reference!A26)</f>
        <v>CBOB—Summer Midgrade</v>
      </c>
      <c r="B5" s="88" t="s">
        <v>219</v>
      </c>
      <c r="C5" s="26">
        <v>0</v>
      </c>
      <c r="D5" s="16"/>
      <c r="E5" s="20"/>
      <c r="F5" s="21">
        <v>0</v>
      </c>
      <c r="G5" s="34">
        <f t="shared" ref="G5:G16" si="1">SUM(H5:J5)</f>
        <v>0</v>
      </c>
      <c r="H5" s="20"/>
      <c r="I5" s="20"/>
      <c r="J5" s="20"/>
      <c r="K5" s="19"/>
      <c r="L5" s="19"/>
      <c r="M5" s="19"/>
      <c r="N5" s="19"/>
      <c r="O5" s="19"/>
      <c r="P5" s="19"/>
      <c r="Q5" s="34">
        <f t="shared" ref="Q5:Q16" si="2">D5+E5-G5</f>
        <v>0</v>
      </c>
      <c r="R5" s="34">
        <f t="shared" si="0"/>
        <v>0</v>
      </c>
      <c r="S5" s="34">
        <f>IF((Q5-R5)&gt;0,(Q5-R5)*Reference!D8,0)</f>
        <v>0</v>
      </c>
      <c r="T5" s="34">
        <f>IF((R5)&gt;0,(R5)*Reference!D8,0)</f>
        <v>0</v>
      </c>
      <c r="U5" s="143">
        <f>IF(Q5&gt;0, Q5*Reference!$B$195*(1/Reference!$A$209)*Reference!$A$210,0)</f>
        <v>0</v>
      </c>
      <c r="V5" s="143">
        <f>IF(Q5&gt;0,Q5*Reference!$C$195*(1/Reference!$A$209)*Reference!$A$210,0)</f>
        <v>0</v>
      </c>
      <c r="W5" s="34">
        <f>IFERROR(S5+T5+(U5*Reference!$B$220)+(V5*Reference!$B$221),"")</f>
        <v>0</v>
      </c>
      <c r="X5" s="34">
        <f t="shared" ref="X5:X16" si="3">(D5+E5-G5-SUM(K5:O5))*(1-C5)</f>
        <v>0</v>
      </c>
      <c r="Y5" s="34">
        <f t="shared" ref="Y5:Y66" si="4">(D5+E5-G5-SUM(K5:N5))*C5</f>
        <v>0</v>
      </c>
      <c r="Z5" s="34">
        <f>IF(X5&gt;0,(X5)*Reference!D8,0)</f>
        <v>0</v>
      </c>
      <c r="AA5" s="140">
        <f>IF((X5+Y5)&gt;0, (X5+Y5)*Reference!$B$195*(1/Reference!$A$209)*Reference!$A$210,0)</f>
        <v>0</v>
      </c>
      <c r="AB5" s="140">
        <f>IF((X5+Y5)&gt;0,(X5+Y5)*Reference!$C$195*(1/Reference!$A$209)*Reference!$A$210,0)</f>
        <v>0</v>
      </c>
      <c r="AC5" s="34">
        <f>IFERROR(Z5+(AA5*Reference!$B$220)+(AB5*Reference!$B$221),"")</f>
        <v>0</v>
      </c>
      <c r="AD5" s="34" t="str">
        <f t="shared" ref="AD5:AD62" si="5">IF(AND(C5&gt;0, COUNTA(D5:O5)&gt;3), "Check to see if this applies to your operations.", "")</f>
        <v/>
      </c>
      <c r="AE5" s="34" t="str">
        <f t="shared" ref="AE5:AE66" si="6">IF(AND((K5+L5+M5+N5+O5)&gt;0,(D5+E5-G5)&lt;(K5+L5+M5+N5+O5)),"Error: Col K-O exemptions exceed reported volume",IF((D5+E5-G5)&lt;0,"Error: net negative volume",""))</f>
        <v/>
      </c>
    </row>
    <row r="6" spans="1:32" x14ac:dyDescent="0.3">
      <c r="A6" s="129" t="str">
        <f>CONCATENATE(Reference!$A$24, " ", Reference!A27)</f>
        <v>CBOB—Summer Premium</v>
      </c>
      <c r="B6" s="88" t="s">
        <v>219</v>
      </c>
      <c r="C6" s="26">
        <v>0</v>
      </c>
      <c r="D6" s="16"/>
      <c r="E6" s="20"/>
      <c r="F6" s="21">
        <v>0</v>
      </c>
      <c r="G6" s="34">
        <f t="shared" si="1"/>
        <v>0</v>
      </c>
      <c r="H6" s="20"/>
      <c r="I6" s="20"/>
      <c r="J6" s="20"/>
      <c r="K6" s="19"/>
      <c r="L6" s="19"/>
      <c r="M6" s="19"/>
      <c r="N6" s="19"/>
      <c r="O6" s="19"/>
      <c r="P6" s="19"/>
      <c r="Q6" s="34">
        <f t="shared" si="2"/>
        <v>0</v>
      </c>
      <c r="R6" s="34">
        <f t="shared" si="0"/>
        <v>0</v>
      </c>
      <c r="S6" s="34">
        <f>IF((Q6-R6)&gt;0,(Q6-R6)*Reference!D9,0)</f>
        <v>0</v>
      </c>
      <c r="T6" s="34">
        <f>IF((R6)&gt;0,(R6)*Reference!D9,0)</f>
        <v>0</v>
      </c>
      <c r="U6" s="143">
        <f>IF(Q6&gt;0, Q6*Reference!$B$195*(1/Reference!$A$209)*Reference!$A$210,0)</f>
        <v>0</v>
      </c>
      <c r="V6" s="143">
        <f>IF(Q6&gt;0,Q6*Reference!$C$195*(1/Reference!$A$209)*Reference!$A$210,0)</f>
        <v>0</v>
      </c>
      <c r="W6" s="34">
        <f>IFERROR(S6+T6+(U6*Reference!$B$220)+(V6*Reference!$B$221),"")</f>
        <v>0</v>
      </c>
      <c r="X6" s="34">
        <f t="shared" si="3"/>
        <v>0</v>
      </c>
      <c r="Y6" s="34">
        <f t="shared" si="4"/>
        <v>0</v>
      </c>
      <c r="Z6" s="34">
        <f>IF(X6&gt;0,(X6)*Reference!D9,0)</f>
        <v>0</v>
      </c>
      <c r="AA6" s="140">
        <f>IF((X6+Y6)&gt;0, (X6+Y6)*Reference!$B$195*(1/Reference!$A$209)*Reference!$A$210,0)</f>
        <v>0</v>
      </c>
      <c r="AB6" s="140">
        <f>IF((X6+Y6)&gt;0,(X6+Y6)*Reference!$C$195*(1/Reference!$A$209)*Reference!$A$210,0)</f>
        <v>0</v>
      </c>
      <c r="AC6" s="34">
        <f>IFERROR(Z6+(AA6*Reference!$B$220)+(AB6*Reference!$B$221),"")</f>
        <v>0</v>
      </c>
      <c r="AD6" s="34" t="str">
        <f t="shared" si="5"/>
        <v/>
      </c>
      <c r="AE6" s="34" t="str">
        <f t="shared" si="6"/>
        <v/>
      </c>
    </row>
    <row r="7" spans="1:32" x14ac:dyDescent="0.3">
      <c r="A7" s="129" t="str">
        <f>CONCATENATE(Reference!$A$28, " ", Reference!A29)</f>
        <v>CBOB—Winter Regular</v>
      </c>
      <c r="B7" s="88" t="s">
        <v>219</v>
      </c>
      <c r="C7" s="26">
        <v>0</v>
      </c>
      <c r="D7" s="16"/>
      <c r="E7" s="20"/>
      <c r="F7" s="21">
        <v>0</v>
      </c>
      <c r="G7" s="34">
        <f t="shared" si="1"/>
        <v>0</v>
      </c>
      <c r="H7" s="20"/>
      <c r="I7" s="20"/>
      <c r="J7" s="20"/>
      <c r="K7" s="19"/>
      <c r="L7" s="19"/>
      <c r="M7" s="19"/>
      <c r="N7" s="19"/>
      <c r="O7" s="19"/>
      <c r="P7" s="19"/>
      <c r="Q7" s="34">
        <f t="shared" si="2"/>
        <v>0</v>
      </c>
      <c r="R7" s="34">
        <f t="shared" si="0"/>
        <v>0</v>
      </c>
      <c r="S7" s="34">
        <f>IF((Q7-R7)&gt;0,(Q7-R7)*Reference!D11,0)</f>
        <v>0</v>
      </c>
      <c r="T7" s="34">
        <f>IF((R7)&gt;0,(R7)*Reference!D11,0)</f>
        <v>0</v>
      </c>
      <c r="U7" s="143">
        <f>IF(Q7&gt;0, Q7*Reference!$B$195*(1/Reference!$A$209)*Reference!$A$210,0)</f>
        <v>0</v>
      </c>
      <c r="V7" s="143">
        <f>IF(Q7&gt;0,Q7*Reference!$C$195*(1/Reference!$A$209)*Reference!$A$210,0)</f>
        <v>0</v>
      </c>
      <c r="W7" s="34">
        <f>IFERROR(S7+T7+(U7*Reference!$B$220)+(V7*Reference!$B$221),"")</f>
        <v>0</v>
      </c>
      <c r="X7" s="34">
        <f t="shared" si="3"/>
        <v>0</v>
      </c>
      <c r="Y7" s="34">
        <f t="shared" si="4"/>
        <v>0</v>
      </c>
      <c r="Z7" s="34">
        <f>IF(X7&gt;0,(X7)*Reference!D11,0)</f>
        <v>0</v>
      </c>
      <c r="AA7" s="140">
        <f>IF((X7+Y7)&gt;0, (X7+Y7)*Reference!$B$195*(1/Reference!$A$209)*Reference!$A$210,0)</f>
        <v>0</v>
      </c>
      <c r="AB7" s="140">
        <f>IF((X7+Y7)&gt;0,(X7+Y7)*Reference!$C$195*(1/Reference!$A$209)*Reference!$A$210,0)</f>
        <v>0</v>
      </c>
      <c r="AC7" s="34">
        <f>IFERROR(Z7+(AA7*Reference!$B$220)+(AB7*Reference!$B$221),"")</f>
        <v>0</v>
      </c>
      <c r="AD7" s="34" t="str">
        <f t="shared" si="5"/>
        <v/>
      </c>
      <c r="AE7" s="34" t="str">
        <f t="shared" si="6"/>
        <v/>
      </c>
      <c r="AF7" s="60"/>
    </row>
    <row r="8" spans="1:32" x14ac:dyDescent="0.3">
      <c r="A8" s="129" t="str">
        <f>CONCATENATE(Reference!$A$28, " ", Reference!A30)</f>
        <v>CBOB—Winter Midgrade</v>
      </c>
      <c r="B8" s="88" t="s">
        <v>219</v>
      </c>
      <c r="C8" s="26">
        <v>0</v>
      </c>
      <c r="D8" s="16"/>
      <c r="E8" s="20"/>
      <c r="F8" s="21">
        <v>0</v>
      </c>
      <c r="G8" s="34">
        <f t="shared" si="1"/>
        <v>0</v>
      </c>
      <c r="H8" s="20"/>
      <c r="I8" s="20"/>
      <c r="J8" s="20"/>
      <c r="K8" s="19"/>
      <c r="L8" s="19"/>
      <c r="M8" s="19"/>
      <c r="N8" s="19"/>
      <c r="O8" s="19"/>
      <c r="P8" s="19"/>
      <c r="Q8" s="34">
        <f t="shared" si="2"/>
        <v>0</v>
      </c>
      <c r="R8" s="34">
        <f t="shared" si="0"/>
        <v>0</v>
      </c>
      <c r="S8" s="34">
        <f>IF((Q8-R8)&gt;0,(Q8-R8)*Reference!D12,0)</f>
        <v>0</v>
      </c>
      <c r="T8" s="34">
        <f>IF((R8)&gt;0,(R8)*Reference!D12,0)</f>
        <v>0</v>
      </c>
      <c r="U8" s="143">
        <f>IF(Q8&gt;0, Q8*Reference!$B$195*(1/Reference!$A$209)*Reference!$A$210,0)</f>
        <v>0</v>
      </c>
      <c r="V8" s="143">
        <f>IF(Q8&gt;0,Q8*Reference!$C$195*(1/Reference!$A$209)*Reference!$A$210,0)</f>
        <v>0</v>
      </c>
      <c r="W8" s="34">
        <f>IFERROR(S8+T8+(U8*Reference!$B$220)+(V8*Reference!$B$221),"")</f>
        <v>0</v>
      </c>
      <c r="X8" s="34">
        <f t="shared" si="3"/>
        <v>0</v>
      </c>
      <c r="Y8" s="34">
        <f t="shared" si="4"/>
        <v>0</v>
      </c>
      <c r="Z8" s="34">
        <f>IF(X8&gt;0,(X8)*Reference!D12,0)</f>
        <v>0</v>
      </c>
      <c r="AA8" s="140">
        <f>IF((X8+Y8)&gt;0, (X8+Y8)*Reference!$B$195*(1/Reference!$A$209)*Reference!$A$210,0)</f>
        <v>0</v>
      </c>
      <c r="AB8" s="140">
        <f>IF((X8+Y8)&gt;0,(X8+Y8)*Reference!$C$195*(1/Reference!$A$209)*Reference!$A$210,0)</f>
        <v>0</v>
      </c>
      <c r="AC8" s="34">
        <f>IFERROR(Z8+(AA8*Reference!$B$220)+(AB8*Reference!$B$221),"")</f>
        <v>0</v>
      </c>
      <c r="AD8" s="34" t="str">
        <f t="shared" si="5"/>
        <v/>
      </c>
      <c r="AE8" s="34" t="str">
        <f t="shared" si="6"/>
        <v/>
      </c>
    </row>
    <row r="9" spans="1:32" x14ac:dyDescent="0.3">
      <c r="A9" s="129" t="str">
        <f>CONCATENATE(Reference!$A$28, " ", Reference!A31)</f>
        <v>CBOB—Winter Premium</v>
      </c>
      <c r="B9" s="88" t="s">
        <v>219</v>
      </c>
      <c r="C9" s="26">
        <v>0</v>
      </c>
      <c r="D9" s="16"/>
      <c r="E9" s="20"/>
      <c r="F9" s="21">
        <v>0</v>
      </c>
      <c r="G9" s="34">
        <f t="shared" si="1"/>
        <v>0</v>
      </c>
      <c r="H9" s="20"/>
      <c r="I9" s="20"/>
      <c r="J9" s="20"/>
      <c r="K9" s="19"/>
      <c r="L9" s="19"/>
      <c r="M9" s="19"/>
      <c r="N9" s="19"/>
      <c r="O9" s="19"/>
      <c r="P9" s="19"/>
      <c r="Q9" s="34">
        <f t="shared" si="2"/>
        <v>0</v>
      </c>
      <c r="R9" s="34">
        <f t="shared" si="0"/>
        <v>0</v>
      </c>
      <c r="S9" s="34">
        <f>IF((Q9-R9)&gt;0,(Q9-R9)*Reference!D13,0)</f>
        <v>0</v>
      </c>
      <c r="T9" s="34">
        <f>IF((R9)&gt;0,(R9)*Reference!D13,0)</f>
        <v>0</v>
      </c>
      <c r="U9" s="143">
        <f>IF(Q9&gt;0, Q9*Reference!$B$195*(1/Reference!$A$209)*Reference!$A$210,0)</f>
        <v>0</v>
      </c>
      <c r="V9" s="143">
        <f>IF(Q9&gt;0,Q9*Reference!$C$195*(1/Reference!$A$209)*Reference!$A$210,0)</f>
        <v>0</v>
      </c>
      <c r="W9" s="34">
        <f>IFERROR(S9+T9+(U9*Reference!$B$220)+(V9*Reference!$B$221),"")</f>
        <v>0</v>
      </c>
      <c r="X9" s="34">
        <f t="shared" si="3"/>
        <v>0</v>
      </c>
      <c r="Y9" s="34">
        <f t="shared" si="4"/>
        <v>0</v>
      </c>
      <c r="Z9" s="34">
        <f>IF(X9&gt;0,(X9)*Reference!D13,0)</f>
        <v>0</v>
      </c>
      <c r="AA9" s="140">
        <f>IF((X9+Y9)&gt;0, (X9+Y9)*Reference!$B$195*(1/Reference!$A$209)*Reference!$A$210,0)</f>
        <v>0</v>
      </c>
      <c r="AB9" s="140">
        <f>IF((X9+Y9)&gt;0,(X9+Y9)*Reference!$C$195*(1/Reference!$A$209)*Reference!$A$210,0)</f>
        <v>0</v>
      </c>
      <c r="AC9" s="34">
        <f>IFERROR(Z9+(AA9*Reference!$B$220)+(AB9*Reference!$B$221),"")</f>
        <v>0</v>
      </c>
      <c r="AD9" s="34" t="str">
        <f t="shared" si="5"/>
        <v/>
      </c>
      <c r="AE9" s="34" t="str">
        <f t="shared" si="6"/>
        <v/>
      </c>
    </row>
    <row r="10" spans="1:32" x14ac:dyDescent="0.3">
      <c r="A10" s="129" t="str">
        <f>CONCATENATE(Reference!$A$32, " ", Reference!A33, " (CA)")</f>
        <v>RBOB—Summer Regular (CA)</v>
      </c>
      <c r="B10" s="128" t="s">
        <v>220</v>
      </c>
      <c r="C10" s="26">
        <v>0</v>
      </c>
      <c r="D10" s="16"/>
      <c r="E10" s="20"/>
      <c r="F10" s="21">
        <v>0</v>
      </c>
      <c r="G10" s="34">
        <f t="shared" si="1"/>
        <v>0</v>
      </c>
      <c r="H10" s="16"/>
      <c r="I10" s="16"/>
      <c r="J10" s="16"/>
      <c r="K10" s="18"/>
      <c r="L10" s="19"/>
      <c r="M10" s="19"/>
      <c r="N10" s="19"/>
      <c r="O10" s="19"/>
      <c r="P10" s="19"/>
      <c r="Q10" s="34">
        <f t="shared" si="2"/>
        <v>0</v>
      </c>
      <c r="R10" s="34">
        <f t="shared" si="0"/>
        <v>0</v>
      </c>
      <c r="S10" s="34">
        <f>IF((Q10-R10)&gt;0,(Q10-R10)*Reference!D15,0)</f>
        <v>0</v>
      </c>
      <c r="T10" s="34">
        <f>IF((R10)&gt;0,(R10)*Reference!D16,0)</f>
        <v>0</v>
      </c>
      <c r="U10" s="143">
        <f>IF(Q10&gt;0, Q10*Reference!$B$195*(1/Reference!$A$209)*Reference!$A$210,0)</f>
        <v>0</v>
      </c>
      <c r="V10" s="143">
        <f>IF(Q10&gt;0,Q10*Reference!$C$195*(1/Reference!$A$209)*Reference!$A$210,0)</f>
        <v>0</v>
      </c>
      <c r="W10" s="34">
        <f>IFERROR(S10+T10+(U10*Reference!$B$220)+(V10*Reference!$B$221),"")</f>
        <v>0</v>
      </c>
      <c r="X10" s="34">
        <f t="shared" si="3"/>
        <v>0</v>
      </c>
      <c r="Y10" s="34">
        <f t="shared" si="4"/>
        <v>0</v>
      </c>
      <c r="Z10" s="34">
        <f>IF(X10&gt;0,(X10)*Reference!D15,0)</f>
        <v>0</v>
      </c>
      <c r="AA10" s="140">
        <f>IF((X10+Y10)&gt;0, (X10+Y10)*Reference!$B$195*(1/Reference!$A$209)*Reference!$A$210,0)</f>
        <v>0</v>
      </c>
      <c r="AB10" s="140">
        <f>IF((X10+Y10)&gt;0,(X10+Y10)*Reference!$C$195*(1/Reference!$A$209)*Reference!$A$210,0)</f>
        <v>0</v>
      </c>
      <c r="AC10" s="34">
        <f>IFERROR(Z10+(AA10*Reference!$B$220)+(AB10*Reference!$B$221),"")</f>
        <v>0</v>
      </c>
      <c r="AD10" s="34" t="str">
        <f t="shared" si="5"/>
        <v/>
      </c>
      <c r="AE10" s="34" t="str">
        <f t="shared" si="6"/>
        <v/>
      </c>
    </row>
    <row r="11" spans="1:32" x14ac:dyDescent="0.3">
      <c r="A11" s="129" t="str">
        <f>CONCATENATE(Reference!$A$32, " ", Reference!A34, " (CA)")</f>
        <v>RBOB—Summer Midgrade (CA)</v>
      </c>
      <c r="B11" s="128" t="s">
        <v>220</v>
      </c>
      <c r="C11" s="15">
        <v>0</v>
      </c>
      <c r="D11" s="16"/>
      <c r="E11" s="20"/>
      <c r="F11" s="21">
        <v>0</v>
      </c>
      <c r="G11" s="34">
        <f t="shared" si="1"/>
        <v>0</v>
      </c>
      <c r="H11" s="20"/>
      <c r="I11" s="20"/>
      <c r="J11" s="20"/>
      <c r="K11" s="19"/>
      <c r="L11" s="19"/>
      <c r="M11" s="19"/>
      <c r="N11" s="19"/>
      <c r="O11" s="19"/>
      <c r="P11" s="19"/>
      <c r="Q11" s="34">
        <f t="shared" si="2"/>
        <v>0</v>
      </c>
      <c r="R11" s="34">
        <f t="shared" si="0"/>
        <v>0</v>
      </c>
      <c r="S11" s="34">
        <f>IF((Q11-R11)&gt;0,(Q11-R11)*Reference!D16,0)</f>
        <v>0</v>
      </c>
      <c r="T11" s="34">
        <f>IF((R11)&gt;0,(R11)*Reference!D17,0)</f>
        <v>0</v>
      </c>
      <c r="U11" s="143">
        <f>IF(Q11&gt;0, Q11*Reference!$B$195*(1/Reference!$A$209)*Reference!$A$210,0)</f>
        <v>0</v>
      </c>
      <c r="V11" s="143">
        <f>IF(Q11&gt;0,Q11*Reference!$C$195*(1/Reference!$A$209)*Reference!$A$210,0)</f>
        <v>0</v>
      </c>
      <c r="W11" s="34">
        <f>IFERROR(S11+T11+(U11*Reference!$B$220)+(V11*Reference!$B$221),"")</f>
        <v>0</v>
      </c>
      <c r="X11" s="34">
        <f t="shared" si="3"/>
        <v>0</v>
      </c>
      <c r="Y11" s="34">
        <f t="shared" si="4"/>
        <v>0</v>
      </c>
      <c r="Z11" s="34">
        <f>IF(X11&gt;0,(X11)*Reference!D16,0)</f>
        <v>0</v>
      </c>
      <c r="AA11" s="140">
        <f>IF((X11+Y11)&gt;0, (X11+Y11)*Reference!$B$195*(1/Reference!$A$209)*Reference!$A$210,0)</f>
        <v>0</v>
      </c>
      <c r="AB11" s="140">
        <f>IF((X11+Y11)&gt;0,(X11+Y11)*Reference!$C$195*(1/Reference!$A$209)*Reference!$A$210,0)</f>
        <v>0</v>
      </c>
      <c r="AC11" s="34">
        <f>IFERROR(Z11+(AA11*Reference!$B$220)+(AB11*Reference!$B$221),"")</f>
        <v>0</v>
      </c>
      <c r="AD11" s="34" t="str">
        <f t="shared" si="5"/>
        <v/>
      </c>
      <c r="AE11" s="34" t="str">
        <f>IF(AND((K11+L11+M11+N11+O11)&gt;0,(D11+E11-G11)&lt;(K11+L11+M11+N11+O11)),"Error: Col K-O exemptions exceed reported volume",IF((D11+E11-G11)&lt;0,"Error: net negative volume",""))</f>
        <v/>
      </c>
    </row>
    <row r="12" spans="1:32" x14ac:dyDescent="0.3">
      <c r="A12" s="129" t="str">
        <f>CONCATENATE(Reference!$A$32, " ", Reference!A35, " (CA)")</f>
        <v>RBOB—Summer Premium (CA)</v>
      </c>
      <c r="B12" s="128" t="s">
        <v>220</v>
      </c>
      <c r="C12" s="15">
        <v>0</v>
      </c>
      <c r="D12" s="16"/>
      <c r="E12" s="20"/>
      <c r="F12" s="21">
        <v>0</v>
      </c>
      <c r="G12" s="34">
        <f t="shared" si="1"/>
        <v>0</v>
      </c>
      <c r="H12" s="20"/>
      <c r="I12" s="20"/>
      <c r="J12" s="20"/>
      <c r="K12" s="19"/>
      <c r="L12" s="19"/>
      <c r="M12" s="19"/>
      <c r="N12" s="19"/>
      <c r="O12" s="19"/>
      <c r="P12" s="19"/>
      <c r="Q12" s="34">
        <f t="shared" si="2"/>
        <v>0</v>
      </c>
      <c r="R12" s="34">
        <f t="shared" si="0"/>
        <v>0</v>
      </c>
      <c r="S12" s="34">
        <f>IF((Q12-R12)&gt;0,(Q12-R12)*Reference!D17,0)</f>
        <v>0</v>
      </c>
      <c r="T12" s="34">
        <f>IF((R12)&gt;0,(R12)*Reference!D18,0)</f>
        <v>0</v>
      </c>
      <c r="U12" s="143">
        <f>IF(Q12&gt;0, Q12*Reference!$B$195*(1/Reference!$A$209)*Reference!$A$210,0)</f>
        <v>0</v>
      </c>
      <c r="V12" s="143">
        <f>IF(Q12&gt;0,Q12*Reference!$C$195*(1/Reference!$A$209)*Reference!$A$210,0)</f>
        <v>0</v>
      </c>
      <c r="W12" s="34">
        <f>IFERROR(S12+T12+(U12*Reference!$B$220)+(V12*Reference!$B$221),"")</f>
        <v>0</v>
      </c>
      <c r="X12" s="34">
        <f t="shared" si="3"/>
        <v>0</v>
      </c>
      <c r="Y12" s="34">
        <f t="shared" si="4"/>
        <v>0</v>
      </c>
      <c r="Z12" s="34">
        <f>IF(X12&gt;0,(X12)*Reference!D17,0)</f>
        <v>0</v>
      </c>
      <c r="AA12" s="140">
        <f>IF((X12+Y12)&gt;0, (X12+Y12)*Reference!$B$195*(1/Reference!$A$209)*Reference!$A$210,0)</f>
        <v>0</v>
      </c>
      <c r="AB12" s="140">
        <f>IF((X12+Y12)&gt;0,(X12+Y12)*Reference!$C$195*(1/Reference!$A$209)*Reference!$A$210,0)</f>
        <v>0</v>
      </c>
      <c r="AC12" s="34">
        <f>IFERROR(Z12+(AA12*Reference!$B$220)+(AB12*Reference!$B$221),"")</f>
        <v>0</v>
      </c>
      <c r="AD12" s="34" t="str">
        <f t="shared" si="5"/>
        <v/>
      </c>
      <c r="AE12" s="34" t="str">
        <f t="shared" si="6"/>
        <v/>
      </c>
    </row>
    <row r="13" spans="1:32" x14ac:dyDescent="0.3">
      <c r="A13" s="129" t="str">
        <f>CONCATENATE(Reference!$A$36," ",Reference!A37," (CA)")</f>
        <v>RBOB—Winter Regular (CA)</v>
      </c>
      <c r="B13" s="128" t="s">
        <v>220</v>
      </c>
      <c r="C13" s="15">
        <v>0</v>
      </c>
      <c r="D13" s="16"/>
      <c r="E13" s="20"/>
      <c r="F13" s="21">
        <v>0</v>
      </c>
      <c r="G13" s="34">
        <f t="shared" si="1"/>
        <v>0</v>
      </c>
      <c r="H13" s="20"/>
      <c r="I13" s="20"/>
      <c r="J13" s="20"/>
      <c r="K13" s="19"/>
      <c r="L13" s="19"/>
      <c r="M13" s="19"/>
      <c r="N13" s="19"/>
      <c r="O13" s="19"/>
      <c r="P13" s="19"/>
      <c r="Q13" s="34">
        <f t="shared" si="2"/>
        <v>0</v>
      </c>
      <c r="R13" s="34">
        <f t="shared" si="0"/>
        <v>0</v>
      </c>
      <c r="S13" s="34">
        <f>IF((Q13-R13)&gt;0,(Q13-R13)*Reference!D19,0)</f>
        <v>0</v>
      </c>
      <c r="T13" s="34">
        <f>IF((R13)&gt;0,(R13)*Reference!D19,0)</f>
        <v>0</v>
      </c>
      <c r="U13" s="143">
        <f>IF(Q13&gt;0, Q13*Reference!$B$195*(1/Reference!$A$209)*Reference!$A$210,0)</f>
        <v>0</v>
      </c>
      <c r="V13" s="143">
        <f>IF(Q13&gt;0,Q13*Reference!$C$195*(1/Reference!$A$209)*Reference!$A$210,0)</f>
        <v>0</v>
      </c>
      <c r="W13" s="34">
        <f>IFERROR(S13+T13+(U13*Reference!$B$220)+(V13*Reference!$B$221),"")</f>
        <v>0</v>
      </c>
      <c r="X13" s="34">
        <f t="shared" si="3"/>
        <v>0</v>
      </c>
      <c r="Y13" s="34">
        <f t="shared" si="4"/>
        <v>0</v>
      </c>
      <c r="Z13" s="34">
        <f>IF(X13&gt;0,(X13)*Reference!D19,0)</f>
        <v>0</v>
      </c>
      <c r="AA13" s="140">
        <f>IF((X13+Y13)&gt;0, (X13+Y13)*Reference!$B$195*(1/Reference!$A$209)*Reference!$A$210,0)</f>
        <v>0</v>
      </c>
      <c r="AB13" s="140">
        <f>IF((X13+Y13)&gt;0,(X13+Y13)*Reference!$C$195*(1/Reference!$A$209)*Reference!$A$210,0)</f>
        <v>0</v>
      </c>
      <c r="AC13" s="34">
        <f>IFERROR(Z13+(AA13*Reference!$B$220)+(AB13*Reference!$B$221),"")</f>
        <v>0</v>
      </c>
      <c r="AD13" s="34" t="str">
        <f t="shared" si="5"/>
        <v/>
      </c>
      <c r="AE13" s="34" t="str">
        <f t="shared" si="6"/>
        <v/>
      </c>
    </row>
    <row r="14" spans="1:32" x14ac:dyDescent="0.3">
      <c r="A14" s="129" t="str">
        <f>CONCATENATE(Reference!$A$36," ",Reference!A38," (CA)")</f>
        <v>RBOB—Winter Midgrade (CA)</v>
      </c>
      <c r="B14" s="128" t="s">
        <v>220</v>
      </c>
      <c r="C14" s="15">
        <v>0</v>
      </c>
      <c r="D14" s="16"/>
      <c r="E14" s="20"/>
      <c r="F14" s="21">
        <v>0</v>
      </c>
      <c r="G14" s="34">
        <f t="shared" si="1"/>
        <v>0</v>
      </c>
      <c r="H14" s="20"/>
      <c r="I14" s="20"/>
      <c r="J14" s="20"/>
      <c r="K14" s="19"/>
      <c r="L14" s="19"/>
      <c r="M14" s="19"/>
      <c r="N14" s="19"/>
      <c r="O14" s="19"/>
      <c r="P14" s="19"/>
      <c r="Q14" s="34">
        <f t="shared" si="2"/>
        <v>0</v>
      </c>
      <c r="R14" s="34">
        <f t="shared" si="0"/>
        <v>0</v>
      </c>
      <c r="S14" s="34">
        <f>IF((Q14-R14)&gt;0,(Q14-R14)*Reference!D20,0)</f>
        <v>0</v>
      </c>
      <c r="T14" s="34">
        <f>IF((R14)&gt;0,(R14)*Reference!D20,0)</f>
        <v>0</v>
      </c>
      <c r="U14" s="143">
        <f>IF(Q14&gt;0, Q14*Reference!$B$195*(1/Reference!$A$209)*Reference!$A$210,0)</f>
        <v>0</v>
      </c>
      <c r="V14" s="143">
        <f>IF(Q14&gt;0,Q14*Reference!$C$195*(1/Reference!$A$209)*Reference!$A$210,0)</f>
        <v>0</v>
      </c>
      <c r="W14" s="34">
        <f>IFERROR(S14+T14+(U14*Reference!$B$220)+(V14*Reference!$B$221),"")</f>
        <v>0</v>
      </c>
      <c r="X14" s="34">
        <f t="shared" si="3"/>
        <v>0</v>
      </c>
      <c r="Y14" s="34">
        <f t="shared" si="4"/>
        <v>0</v>
      </c>
      <c r="Z14" s="34">
        <f>IF(X14&gt;0,(X14)*Reference!D20,0)</f>
        <v>0</v>
      </c>
      <c r="AA14" s="140">
        <f>IF((X14+Y14)&gt;0, (X14+Y14)*Reference!$B$195*(1/Reference!$A$209)*Reference!$A$210,0)</f>
        <v>0</v>
      </c>
      <c r="AB14" s="140">
        <f>IF((X14+Y14)&gt;0,(X14+Y14)*Reference!$C$195*(1/Reference!$A$209)*Reference!$A$210,0)</f>
        <v>0</v>
      </c>
      <c r="AC14" s="34">
        <f>IFERROR(Z14+(AA14*Reference!$B$220)+(AB14*Reference!$B$221),"")</f>
        <v>0</v>
      </c>
      <c r="AD14" s="34" t="str">
        <f t="shared" si="5"/>
        <v/>
      </c>
      <c r="AE14" s="34" t="str">
        <f t="shared" si="6"/>
        <v/>
      </c>
    </row>
    <row r="15" spans="1:32" x14ac:dyDescent="0.3">
      <c r="A15" s="129" t="str">
        <f>CONCATENATE(Reference!$A$36," ",Reference!A39," (CA)")</f>
        <v>RBOB—Winter Premium (CA)</v>
      </c>
      <c r="B15" s="128" t="s">
        <v>220</v>
      </c>
      <c r="C15" s="15">
        <v>0</v>
      </c>
      <c r="D15" s="16"/>
      <c r="E15" s="20"/>
      <c r="F15" s="21">
        <v>0</v>
      </c>
      <c r="G15" s="34">
        <f t="shared" si="1"/>
        <v>0</v>
      </c>
      <c r="H15" s="20"/>
      <c r="I15" s="20"/>
      <c r="J15" s="20"/>
      <c r="K15" s="19"/>
      <c r="L15" s="19"/>
      <c r="M15" s="19"/>
      <c r="N15" s="19"/>
      <c r="O15" s="19"/>
      <c r="P15" s="19"/>
      <c r="Q15" s="34">
        <f t="shared" si="2"/>
        <v>0</v>
      </c>
      <c r="R15" s="34">
        <f t="shared" si="0"/>
        <v>0</v>
      </c>
      <c r="S15" s="34">
        <f>IF((Q15-R15)&gt;0,(Q15-R15)*Reference!D21,0)</f>
        <v>0</v>
      </c>
      <c r="T15" s="34">
        <f>IF((R15)&gt;0,(R15)*Reference!D21,0)</f>
        <v>0</v>
      </c>
      <c r="U15" s="143">
        <f>IF(Q15&gt;0, Q15*Reference!$B$195*(1/Reference!$A$209)*Reference!$A$210,0)</f>
        <v>0</v>
      </c>
      <c r="V15" s="143">
        <f>IF(Q15&gt;0,Q15*Reference!$C$195*(1/Reference!$A$209)*Reference!$A$210,0)</f>
        <v>0</v>
      </c>
      <c r="W15" s="34">
        <f>IFERROR(S15+T15+(U15*Reference!$B$220)+(V15*Reference!$B$221),"")</f>
        <v>0</v>
      </c>
      <c r="X15" s="34">
        <f t="shared" si="3"/>
        <v>0</v>
      </c>
      <c r="Y15" s="34">
        <f t="shared" si="4"/>
        <v>0</v>
      </c>
      <c r="Z15" s="34">
        <f>IF(X15&gt;0,(X15)*Reference!D21,0)</f>
        <v>0</v>
      </c>
      <c r="AA15" s="140">
        <f>IF((X15+Y15)&gt;0, (X15+Y15)*Reference!$B$195*(1/Reference!$A$209)*Reference!$A$210,0)</f>
        <v>0</v>
      </c>
      <c r="AB15" s="140">
        <f>IF((X15+Y15)&gt;0,(X15+Y15)*Reference!$C$195*(1/Reference!$A$209)*Reference!$A$210,0)</f>
        <v>0</v>
      </c>
      <c r="AC15" s="34">
        <f>IFERROR(Z15+(AA15*Reference!$B$220)+(AB15*Reference!$B$221),"")</f>
        <v>0</v>
      </c>
      <c r="AD15" s="34" t="str">
        <f t="shared" si="5"/>
        <v/>
      </c>
      <c r="AE15" s="34" t="str">
        <f t="shared" si="6"/>
        <v/>
      </c>
    </row>
    <row r="16" spans="1:32" x14ac:dyDescent="0.3">
      <c r="A16" s="130" t="str">
        <f>Reference!A40</f>
        <v>Blendstocks—Other</v>
      </c>
      <c r="B16" s="130"/>
      <c r="C16" s="22">
        <v>0</v>
      </c>
      <c r="D16" s="16"/>
      <c r="E16" s="23"/>
      <c r="F16" s="24">
        <v>0</v>
      </c>
      <c r="G16" s="34">
        <f t="shared" si="1"/>
        <v>0</v>
      </c>
      <c r="H16" s="23"/>
      <c r="I16" s="23"/>
      <c r="J16" s="23"/>
      <c r="K16" s="25"/>
      <c r="L16" s="25"/>
      <c r="M16" s="25"/>
      <c r="N16" s="25"/>
      <c r="O16" s="25"/>
      <c r="P16" s="25"/>
      <c r="Q16" s="144">
        <f t="shared" si="2"/>
        <v>0</v>
      </c>
      <c r="R16" s="144">
        <f t="shared" si="0"/>
        <v>0</v>
      </c>
      <c r="S16" s="145">
        <f>IF((Q16-R16)&gt;0,(Q16-R16)*Reference!D40,0)</f>
        <v>0</v>
      </c>
      <c r="T16" s="144">
        <f>IF((R16)&gt;0,(R16)*Reference!D40,0)</f>
        <v>0</v>
      </c>
      <c r="U16" s="146">
        <f>IF(Q16&gt;0, Q16*Reference!$B$195*(1/Reference!$A$209)*Reference!$A$210,0)</f>
        <v>0</v>
      </c>
      <c r="V16" s="146">
        <f>IF(Q16&gt;0,Q16*Reference!$C$195*(1/Reference!$A$209)*Reference!$A$210,0)</f>
        <v>0</v>
      </c>
      <c r="W16" s="144">
        <f>IFERROR(S16+T16+(U16*Reference!$B$220)+(V16*Reference!$B$221),"")</f>
        <v>0</v>
      </c>
      <c r="X16" s="34">
        <f t="shared" si="3"/>
        <v>0</v>
      </c>
      <c r="Y16" s="144">
        <f t="shared" si="4"/>
        <v>0</v>
      </c>
      <c r="Z16" s="144">
        <f>IF(X16&gt;0,(X16)*Reference!D40,0)</f>
        <v>0</v>
      </c>
      <c r="AA16" s="147">
        <f>IF((X16+Y16)&gt;0, (X16+Y16)*Reference!$B$195*(1/Reference!$A$209)*Reference!$A$210,0)</f>
        <v>0</v>
      </c>
      <c r="AB16" s="147">
        <f>IF((X16+Y16)&gt;0,(X16+Y16)*Reference!$C$195*(1/Reference!$A$209)*Reference!$A$210,0)</f>
        <v>0</v>
      </c>
      <c r="AC16" s="144">
        <f>IFERROR(Z16+(AA16*Reference!$B$220)+(AB16*Reference!$B$221),"")</f>
        <v>0</v>
      </c>
      <c r="AD16" s="34" t="str">
        <f t="shared" si="5"/>
        <v/>
      </c>
      <c r="AE16" s="34" t="str">
        <f t="shared" si="6"/>
        <v/>
      </c>
    </row>
    <row r="17" spans="1:31" x14ac:dyDescent="0.3">
      <c r="A17" s="131" t="s">
        <v>94</v>
      </c>
      <c r="B17" s="131"/>
      <c r="C17" s="131"/>
      <c r="D17" s="138"/>
      <c r="E17" s="122"/>
      <c r="F17" s="122"/>
      <c r="G17" s="139"/>
      <c r="H17" s="122"/>
      <c r="I17" s="122"/>
      <c r="J17" s="122"/>
      <c r="K17" s="122"/>
      <c r="L17" s="123"/>
      <c r="M17" s="123"/>
      <c r="N17" s="123"/>
      <c r="O17" s="123"/>
      <c r="P17" s="123"/>
      <c r="Q17" s="34"/>
      <c r="R17" s="34"/>
      <c r="S17" s="34"/>
      <c r="T17" s="34"/>
      <c r="U17" s="125"/>
      <c r="V17" s="125"/>
      <c r="W17" s="123"/>
      <c r="X17" s="126"/>
      <c r="Y17" s="34"/>
      <c r="Z17" s="34"/>
      <c r="AA17" s="140"/>
      <c r="AB17" s="140"/>
      <c r="AC17" s="34"/>
      <c r="AD17" s="34" t="str">
        <f t="shared" si="5"/>
        <v/>
      </c>
      <c r="AE17" s="34" t="str">
        <f t="shared" si="6"/>
        <v/>
      </c>
    </row>
    <row r="18" spans="1:31" x14ac:dyDescent="0.3">
      <c r="A18" s="129" t="str">
        <f>Reference!A42</f>
        <v>Methanol</v>
      </c>
      <c r="B18" s="129"/>
      <c r="C18" s="26">
        <v>0</v>
      </c>
      <c r="D18" s="16"/>
      <c r="E18" s="20"/>
      <c r="F18" s="21">
        <v>1</v>
      </c>
      <c r="G18" s="35">
        <f>SUM(H18:J18)</f>
        <v>0</v>
      </c>
      <c r="H18" s="20"/>
      <c r="I18" s="20"/>
      <c r="J18" s="20"/>
      <c r="K18" s="19"/>
      <c r="L18" s="19"/>
      <c r="M18" s="19"/>
      <c r="N18" s="19"/>
      <c r="O18" s="19"/>
      <c r="P18" s="19"/>
      <c r="Q18" s="34">
        <f t="shared" ref="Q18:Q23" si="7">D18+E18-G18</f>
        <v>0</v>
      </c>
      <c r="R18" s="34">
        <f t="shared" ref="R18:R23" si="8">(D18+E18-G18)*C18</f>
        <v>0</v>
      </c>
      <c r="S18" s="34">
        <f>IF((Q18-R18)&gt;0,(Q18-R18)*Reference!D42,0)</f>
        <v>0</v>
      </c>
      <c r="T18" s="34">
        <f>IF((R18)&gt;0,(R18)*Reference!D42,0)</f>
        <v>0</v>
      </c>
      <c r="U18" s="143">
        <f>IF(Q18&gt;0, Q18*Reference!$B$199*(1/Reference!$A$209)*Reference!$A$210,0)</f>
        <v>0</v>
      </c>
      <c r="V18" s="143">
        <f>IF(Q18&gt;0,Q18*Reference!$C$199*(1/Reference!$A$209)*Reference!$A$210,0)</f>
        <v>0</v>
      </c>
      <c r="W18" s="34">
        <f>IFERROR(S18+T18+(U18*Reference!$B$220)+(V18*Reference!$B$221),"")</f>
        <v>0</v>
      </c>
      <c r="X18" s="34">
        <f>(D18+E18-G18-SUM(K18:O18))*(1-C18)</f>
        <v>0</v>
      </c>
      <c r="Y18" s="34">
        <f t="shared" si="4"/>
        <v>0</v>
      </c>
      <c r="Z18" s="34">
        <f>IF(X18&gt;0,(X18)*Reference!D42,0)</f>
        <v>0</v>
      </c>
      <c r="AA18" s="140">
        <f>IF((X18+Y18)&gt;0, (X18+Y18)*Reference!$B$199*(1/Reference!$A$209)*Reference!$A$210,0)</f>
        <v>0</v>
      </c>
      <c r="AB18" s="140">
        <f>IF((X18+Y18)&gt;0,(X18+Y18)*Reference!$C$199*(1/Reference!$A$209)*Reference!$A$210,0)</f>
        <v>0</v>
      </c>
      <c r="AC18" s="34">
        <f>IFERROR(Z18+(AA18*Reference!$B$220)+(AB18*Reference!$B$221),"")</f>
        <v>0</v>
      </c>
      <c r="AD18" s="34" t="str">
        <f t="shared" si="5"/>
        <v/>
      </c>
      <c r="AE18" s="34" t="str">
        <f t="shared" si="6"/>
        <v/>
      </c>
    </row>
    <row r="19" spans="1:31" x14ac:dyDescent="0.3">
      <c r="A19" s="129" t="str">
        <f>Reference!A43</f>
        <v>GTBA</v>
      </c>
      <c r="B19" s="129"/>
      <c r="C19" s="26">
        <v>0</v>
      </c>
      <c r="D19" s="16"/>
      <c r="E19" s="20"/>
      <c r="F19" s="21">
        <v>1</v>
      </c>
      <c r="G19" s="35">
        <f t="shared" ref="G19:G23" si="9">SUM(H19:J19)</f>
        <v>0</v>
      </c>
      <c r="H19" s="20"/>
      <c r="I19" s="20"/>
      <c r="J19" s="20"/>
      <c r="K19" s="19"/>
      <c r="L19" s="19"/>
      <c r="M19" s="19"/>
      <c r="N19" s="19"/>
      <c r="O19" s="19"/>
      <c r="P19" s="19"/>
      <c r="Q19" s="34">
        <f t="shared" si="7"/>
        <v>0</v>
      </c>
      <c r="R19" s="34">
        <f t="shared" si="8"/>
        <v>0</v>
      </c>
      <c r="S19" s="34">
        <f>IF((Q19-R19)&gt;0,(Q19-R19)*Reference!D43,0)</f>
        <v>0</v>
      </c>
      <c r="T19" s="34">
        <f>IF((R19)&gt;0,(R19)*Reference!D43,0)</f>
        <v>0</v>
      </c>
      <c r="U19" s="143">
        <f>IF(Q19&gt;0, Q19*Reference!$B$199*(1/Reference!$A$209)*Reference!$A$210,0)</f>
        <v>0</v>
      </c>
      <c r="V19" s="143">
        <f>IF(Q19&gt;0,Q19*Reference!$C$199*(1/Reference!$A$209)*Reference!$A$210,0)</f>
        <v>0</v>
      </c>
      <c r="W19" s="34">
        <f>IFERROR(S19+T19+(U19*Reference!$B$220)+(V19*Reference!$B$221),"")</f>
        <v>0</v>
      </c>
      <c r="X19" s="34">
        <f t="shared" ref="X19:X23" si="10">(D19+E19-G19-SUM(K19:O19))*(1-C19)</f>
        <v>0</v>
      </c>
      <c r="Y19" s="34">
        <f t="shared" si="4"/>
        <v>0</v>
      </c>
      <c r="Z19" s="34">
        <f>IF(X19&gt;0,(X19)*Reference!D43,0)</f>
        <v>0</v>
      </c>
      <c r="AA19" s="140">
        <f>IF((X19+Y19)&gt;0, (X19+Y19)*Reference!$B$199*(1/Reference!$A$209)*Reference!$A$210,0)</f>
        <v>0</v>
      </c>
      <c r="AB19" s="140">
        <f>IF((X19+Y19)&gt;0,(X19+Y19)*Reference!$C$199*(1/Reference!$A$209)*Reference!$A$210,0)</f>
        <v>0</v>
      </c>
      <c r="AC19" s="34">
        <f>IFERROR(Z19+(AA19*Reference!$B$220)+(AB19*Reference!$B$221),"")</f>
        <v>0</v>
      </c>
      <c r="AD19" s="34" t="str">
        <f t="shared" si="5"/>
        <v/>
      </c>
      <c r="AE19" s="34" t="str">
        <f t="shared" si="6"/>
        <v/>
      </c>
    </row>
    <row r="20" spans="1:31" x14ac:dyDescent="0.3">
      <c r="A20" s="129" t="str">
        <f>Reference!A44</f>
        <v>MTBE</v>
      </c>
      <c r="B20" s="129"/>
      <c r="C20" s="26">
        <v>0</v>
      </c>
      <c r="D20" s="16"/>
      <c r="E20" s="20"/>
      <c r="F20" s="21">
        <v>1</v>
      </c>
      <c r="G20" s="35">
        <f t="shared" si="9"/>
        <v>0</v>
      </c>
      <c r="H20" s="20"/>
      <c r="I20" s="20"/>
      <c r="J20" s="20"/>
      <c r="K20" s="19"/>
      <c r="L20" s="19"/>
      <c r="M20" s="19"/>
      <c r="N20" s="19"/>
      <c r="O20" s="19"/>
      <c r="P20" s="19"/>
      <c r="Q20" s="34">
        <f t="shared" si="7"/>
        <v>0</v>
      </c>
      <c r="R20" s="34">
        <f t="shared" si="8"/>
        <v>0</v>
      </c>
      <c r="S20" s="34">
        <f>IF((Q20-R20)&gt;0,(Q20-R20)*Reference!D44,0)</f>
        <v>0</v>
      </c>
      <c r="T20" s="34">
        <f>IF((R20)&gt;0,(R20)*Reference!D44,0)</f>
        <v>0</v>
      </c>
      <c r="U20" s="143">
        <f>IF(Q20&gt;0, Q20*Reference!$B$199*(1/Reference!$A$209)*Reference!$A$210,0)</f>
        <v>0</v>
      </c>
      <c r="V20" s="143">
        <f>IF(Q20&gt;0,Q20*Reference!$C$199*(1/Reference!$A$209)*Reference!$A$210,0)</f>
        <v>0</v>
      </c>
      <c r="W20" s="34">
        <f>IFERROR(S20+T20+(U20*Reference!$B$220)+(V20*Reference!$B$221),"")</f>
        <v>0</v>
      </c>
      <c r="X20" s="34">
        <f t="shared" si="10"/>
        <v>0</v>
      </c>
      <c r="Y20" s="34">
        <f t="shared" si="4"/>
        <v>0</v>
      </c>
      <c r="Z20" s="34">
        <f>IF(X20&gt;0,(X20)*Reference!D44,0)</f>
        <v>0</v>
      </c>
      <c r="AA20" s="140">
        <f>IF((X20+Y20)&gt;0, (X20+Y20)*Reference!$B$199*(1/Reference!$A$209)*Reference!$A$210,0)</f>
        <v>0</v>
      </c>
      <c r="AB20" s="140">
        <f>IF((X20+Y20)&gt;0,(X20+Y20)*Reference!$C$199*(1/Reference!$A$209)*Reference!$A$210,0)</f>
        <v>0</v>
      </c>
      <c r="AC20" s="34">
        <f>IFERROR(Z20+(AA20*Reference!$B$220)+(AB20*Reference!$B$221),"")</f>
        <v>0</v>
      </c>
      <c r="AD20" s="34" t="str">
        <f t="shared" si="5"/>
        <v/>
      </c>
      <c r="AE20" s="34" t="str">
        <f t="shared" si="6"/>
        <v/>
      </c>
    </row>
    <row r="21" spans="1:31" x14ac:dyDescent="0.3">
      <c r="A21" s="129" t="str">
        <f>Reference!A45</f>
        <v>ETBE</v>
      </c>
      <c r="B21" s="129"/>
      <c r="C21" s="26">
        <v>0</v>
      </c>
      <c r="D21" s="16"/>
      <c r="E21" s="20"/>
      <c r="F21" s="21">
        <v>1</v>
      </c>
      <c r="G21" s="35">
        <f t="shared" si="9"/>
        <v>0</v>
      </c>
      <c r="H21" s="20"/>
      <c r="I21" s="20"/>
      <c r="J21" s="20"/>
      <c r="K21" s="19"/>
      <c r="L21" s="19"/>
      <c r="M21" s="19"/>
      <c r="N21" s="19"/>
      <c r="O21" s="19"/>
      <c r="P21" s="19"/>
      <c r="Q21" s="34">
        <f t="shared" si="7"/>
        <v>0</v>
      </c>
      <c r="R21" s="34">
        <f t="shared" si="8"/>
        <v>0</v>
      </c>
      <c r="S21" s="34">
        <f>IF((Q21-R21)&gt;0,(Q21-R21)*Reference!D45,0)</f>
        <v>0</v>
      </c>
      <c r="T21" s="34">
        <f>IF((R21)&gt;0,(R21)*Reference!D45,0)</f>
        <v>0</v>
      </c>
      <c r="U21" s="143">
        <f>IF(Q21&gt;0, Q21*Reference!$B$199*(1/Reference!$A$209)*Reference!$A$210,0)</f>
        <v>0</v>
      </c>
      <c r="V21" s="143">
        <f>IF(Q21&gt;0,Q21*Reference!$C$199*(1/Reference!$A$209)*Reference!$A$210,0)</f>
        <v>0</v>
      </c>
      <c r="W21" s="34">
        <f>IFERROR(S21+T21+(U21*Reference!$B$220)+(V21*Reference!$B$221),"")</f>
        <v>0</v>
      </c>
      <c r="X21" s="34">
        <f t="shared" si="10"/>
        <v>0</v>
      </c>
      <c r="Y21" s="34">
        <f t="shared" si="4"/>
        <v>0</v>
      </c>
      <c r="Z21" s="34">
        <f>IF(X21&gt;0,(X21)*Reference!D45,0)</f>
        <v>0</v>
      </c>
      <c r="AA21" s="140">
        <f>IF((X21+Y21)&gt;0, (X21+Y21)*Reference!$B$199*(1/Reference!$A$209)*Reference!$A$210,0)</f>
        <v>0</v>
      </c>
      <c r="AB21" s="140">
        <f>IF((X21+Y21)&gt;0,(X21+Y21)*Reference!$C$199*(1/Reference!$A$209)*Reference!$A$210,0)</f>
        <v>0</v>
      </c>
      <c r="AC21" s="34">
        <f>IFERROR(Z21+(AA21*Reference!$B$220)+(AB21*Reference!$B$221),"")</f>
        <v>0</v>
      </c>
      <c r="AD21" s="34" t="str">
        <f t="shared" si="5"/>
        <v/>
      </c>
      <c r="AE21" s="34" t="str">
        <f t="shared" si="6"/>
        <v/>
      </c>
    </row>
    <row r="22" spans="1:31" x14ac:dyDescent="0.3">
      <c r="A22" s="129" t="str">
        <f>Reference!A46</f>
        <v>TAME</v>
      </c>
      <c r="B22" s="129"/>
      <c r="C22" s="26">
        <v>0</v>
      </c>
      <c r="D22" s="16"/>
      <c r="E22" s="20"/>
      <c r="F22" s="21">
        <v>1</v>
      </c>
      <c r="G22" s="35">
        <f t="shared" si="9"/>
        <v>0</v>
      </c>
      <c r="H22" s="20"/>
      <c r="I22" s="20"/>
      <c r="J22" s="20"/>
      <c r="K22" s="19"/>
      <c r="L22" s="19"/>
      <c r="M22" s="19"/>
      <c r="N22" s="19"/>
      <c r="O22" s="19"/>
      <c r="P22" s="19"/>
      <c r="Q22" s="34">
        <f t="shared" si="7"/>
        <v>0</v>
      </c>
      <c r="R22" s="34">
        <f t="shared" si="8"/>
        <v>0</v>
      </c>
      <c r="S22" s="34">
        <f>IF((Q22-R22)&gt;0,(Q22-R22)*Reference!D46,0)</f>
        <v>0</v>
      </c>
      <c r="T22" s="34">
        <f>IF((R22)&gt;0,(R22)*Reference!D46,0)</f>
        <v>0</v>
      </c>
      <c r="U22" s="143">
        <f>IF(Q22&gt;0, Q22*Reference!$B$199*(1/Reference!$A$209)*Reference!$A$210,0)</f>
        <v>0</v>
      </c>
      <c r="V22" s="143">
        <f>IF(Q22&gt;0,Q22*Reference!$C$199*(1/Reference!$A$209)*Reference!$A$210,0)</f>
        <v>0</v>
      </c>
      <c r="W22" s="34">
        <f>IFERROR(S22+T22+(U22*Reference!$B$220)+(V22*Reference!$B$221),"")</f>
        <v>0</v>
      </c>
      <c r="X22" s="34">
        <f t="shared" si="10"/>
        <v>0</v>
      </c>
      <c r="Y22" s="34">
        <f t="shared" si="4"/>
        <v>0</v>
      </c>
      <c r="Z22" s="34">
        <f>IF(X22&gt;0,(X22)*Reference!D46,0)</f>
        <v>0</v>
      </c>
      <c r="AA22" s="140">
        <f>IF((X22+Y22)&gt;0, (X22+Y22)*Reference!$B$199*(1/Reference!$A$209)*Reference!$A$210,0)</f>
        <v>0</v>
      </c>
      <c r="AB22" s="140">
        <f>IF((X22+Y22)&gt;0,(X22+Y22)*Reference!$C$199*(1/Reference!$A$209)*Reference!$A$210,0)</f>
        <v>0</v>
      </c>
      <c r="AC22" s="34">
        <f>IFERROR(Z22+(AA22*Reference!$B$220)+(AB22*Reference!$B$221),"")</f>
        <v>0</v>
      </c>
      <c r="AD22" s="34" t="str">
        <f t="shared" si="5"/>
        <v/>
      </c>
      <c r="AE22" s="34" t="str">
        <f t="shared" si="6"/>
        <v/>
      </c>
    </row>
    <row r="23" spans="1:31" x14ac:dyDescent="0.3">
      <c r="A23" s="130" t="str">
        <f>Reference!A47</f>
        <v>DIPE</v>
      </c>
      <c r="B23" s="130"/>
      <c r="C23" s="27">
        <v>0</v>
      </c>
      <c r="D23" s="16"/>
      <c r="E23" s="23"/>
      <c r="F23" s="24">
        <v>1</v>
      </c>
      <c r="G23" s="35">
        <f t="shared" si="9"/>
        <v>0</v>
      </c>
      <c r="H23" s="23"/>
      <c r="I23" s="23"/>
      <c r="J23" s="23"/>
      <c r="K23" s="25"/>
      <c r="L23" s="25"/>
      <c r="M23" s="25"/>
      <c r="N23" s="25"/>
      <c r="O23" s="25"/>
      <c r="P23" s="25"/>
      <c r="Q23" s="144">
        <f t="shared" si="7"/>
        <v>0</v>
      </c>
      <c r="R23" s="144">
        <f t="shared" si="8"/>
        <v>0</v>
      </c>
      <c r="S23" s="145">
        <f>IF((Q23-R23)&gt;0,(Q23-R23)*Reference!D47,0)</f>
        <v>0</v>
      </c>
      <c r="T23" s="144">
        <f>IF((R23)&gt;0,(R23)*Reference!D47,0)</f>
        <v>0</v>
      </c>
      <c r="U23" s="146">
        <f>IF(Q23&gt;0, Q23*Reference!$B$199*(1/Reference!$A$209)*Reference!$A$210,0)</f>
        <v>0</v>
      </c>
      <c r="V23" s="146">
        <f>IF(Q23&gt;0,Q23*Reference!$C$199*(1/Reference!$A$209)*Reference!$A$210,0)</f>
        <v>0</v>
      </c>
      <c r="W23" s="144">
        <f>IFERROR(S23+T23+(U23*Reference!$B$220)+(V23*Reference!$B$221),"")</f>
        <v>0</v>
      </c>
      <c r="X23" s="34">
        <f t="shared" si="10"/>
        <v>0</v>
      </c>
      <c r="Y23" s="144">
        <f t="shared" si="4"/>
        <v>0</v>
      </c>
      <c r="Z23" s="145">
        <f>IF(X23&gt;0,(X23)*Reference!D47,0)</f>
        <v>0</v>
      </c>
      <c r="AA23" s="146">
        <f>IF((X23+Y23)&gt;0, (X23+Y23)*Reference!$B$199*(1/Reference!$A$209)*Reference!$A$210,0)</f>
        <v>0</v>
      </c>
      <c r="AB23" s="147">
        <f>IF((X23+Y23)&gt;0,(X23+Y23)*Reference!$C$199*(1/Reference!$A$209)*Reference!$A$210,0)</f>
        <v>0</v>
      </c>
      <c r="AC23" s="144">
        <f>IFERROR(Z23+(AA23*Reference!$B$220)+(AB23*Reference!$B$221),"")</f>
        <v>0</v>
      </c>
      <c r="AD23" s="34" t="str">
        <f t="shared" si="5"/>
        <v/>
      </c>
      <c r="AE23" s="34" t="str">
        <f t="shared" si="6"/>
        <v/>
      </c>
    </row>
    <row r="24" spans="1:31" x14ac:dyDescent="0.3">
      <c r="A24" s="131" t="s">
        <v>208</v>
      </c>
      <c r="B24" s="131"/>
      <c r="C24" s="131"/>
      <c r="D24" s="138"/>
      <c r="E24" s="122"/>
      <c r="F24" s="122"/>
      <c r="G24" s="139"/>
      <c r="H24" s="122"/>
      <c r="I24" s="122"/>
      <c r="J24" s="122"/>
      <c r="K24" s="122"/>
      <c r="L24" s="123"/>
      <c r="M24" s="123"/>
      <c r="N24" s="123"/>
      <c r="O24" s="123"/>
      <c r="P24" s="123"/>
      <c r="Q24" s="34"/>
      <c r="R24" s="34"/>
      <c r="S24" s="34"/>
      <c r="T24" s="34"/>
      <c r="U24" s="125"/>
      <c r="V24" s="125"/>
      <c r="W24" s="123"/>
      <c r="X24" s="126"/>
      <c r="Y24" s="34"/>
      <c r="Z24" s="34"/>
      <c r="AA24" s="140"/>
      <c r="AB24" s="140"/>
      <c r="AC24" s="34"/>
      <c r="AD24" s="34" t="str">
        <f t="shared" si="5"/>
        <v/>
      </c>
      <c r="AE24" s="34" t="str">
        <f t="shared" si="6"/>
        <v/>
      </c>
    </row>
    <row r="25" spans="1:31" x14ac:dyDescent="0.3">
      <c r="A25" s="129" t="str">
        <f>CONCATENATE(Reference!$A$49, " ", Reference!A50)</f>
        <v>Distillate No. 1 Ultra Low Sulfur</v>
      </c>
      <c r="B25" s="129"/>
      <c r="C25" s="26">
        <v>0</v>
      </c>
      <c r="D25" s="16"/>
      <c r="E25" s="20"/>
      <c r="F25" s="21">
        <v>0</v>
      </c>
      <c r="G25" s="35">
        <f>SUM(H25:J25)</f>
        <v>0</v>
      </c>
      <c r="H25" s="20"/>
      <c r="I25" s="20"/>
      <c r="J25" s="20"/>
      <c r="K25" s="19"/>
      <c r="L25" s="19"/>
      <c r="M25" s="19"/>
      <c r="N25" s="19"/>
      <c r="O25" s="19"/>
      <c r="P25" s="19"/>
      <c r="Q25" s="34">
        <f t="shared" ref="Q25:Q36" si="11">D25+E25-G25</f>
        <v>0</v>
      </c>
      <c r="R25" s="34">
        <f t="shared" ref="R25:R36" si="12">(D25+E25-G25)*C25</f>
        <v>0</v>
      </c>
      <c r="S25" s="34">
        <f>IF((Q25-R25)&gt;0,(Q25-R25)*Reference!D50,0)</f>
        <v>0</v>
      </c>
      <c r="T25" s="34">
        <f>IF((R25)&gt;0,(R25)*Reference!D50,0)</f>
        <v>0</v>
      </c>
      <c r="U25" s="143">
        <f>IF(Q25&gt;0, Q25*Reference!$B$196*(1/Reference!$A$209)*Reference!$A$210,0)</f>
        <v>0</v>
      </c>
      <c r="V25" s="143">
        <f>IF(Q25&gt;0,Q25*Reference!$C$196*(1/Reference!$A$209)*Reference!$A$210,0)</f>
        <v>0</v>
      </c>
      <c r="W25" s="34">
        <f>IFERROR(S25+T25+(U25*Reference!$B$220)+(V25*Reference!$B$221),"")</f>
        <v>0</v>
      </c>
      <c r="X25" s="34">
        <f>(D25+E25-G25-SUM(K25:O25))*(1-C25)</f>
        <v>0</v>
      </c>
      <c r="Y25" s="34">
        <f t="shared" si="4"/>
        <v>0</v>
      </c>
      <c r="Z25" s="34">
        <f>IF(X25&gt;0,(X25)*Reference!D50,0)</f>
        <v>0</v>
      </c>
      <c r="AA25" s="140">
        <f>IF((X25+Y25)&gt;0, (X25+Y25)*Reference!$B$196*(1/Reference!$A$209)*Reference!$A$210,0)</f>
        <v>0</v>
      </c>
      <c r="AB25" s="140">
        <f>IF((X25+Y25)&gt;0,(X25+Y25)*Reference!$C$196*(1/Reference!$A$209)*Reference!$A$210,0)</f>
        <v>0</v>
      </c>
      <c r="AC25" s="34">
        <f>IFERROR(Z25+(AA25*Reference!$B$220)+(AB25*Reference!$B$221),"")</f>
        <v>0</v>
      </c>
      <c r="AD25" s="34" t="str">
        <f t="shared" si="5"/>
        <v/>
      </c>
      <c r="AE25" s="34" t="str">
        <f t="shared" si="6"/>
        <v/>
      </c>
    </row>
    <row r="26" spans="1:31" x14ac:dyDescent="0.3">
      <c r="A26" s="129" t="str">
        <f>CONCATENATE(Reference!$A$49, " ", Reference!A51)</f>
        <v>Distillate No. 1 Low Sulfur</v>
      </c>
      <c r="B26" s="129"/>
      <c r="C26" s="26">
        <v>0</v>
      </c>
      <c r="D26" s="16"/>
      <c r="E26" s="20"/>
      <c r="F26" s="21">
        <v>0</v>
      </c>
      <c r="G26" s="35">
        <f t="shared" ref="G26:G36" si="13">SUM(H26:J26)</f>
        <v>0</v>
      </c>
      <c r="H26" s="20"/>
      <c r="I26" s="20"/>
      <c r="J26" s="20"/>
      <c r="K26" s="19"/>
      <c r="L26" s="19"/>
      <c r="M26" s="19"/>
      <c r="N26" s="19"/>
      <c r="O26" s="19"/>
      <c r="P26" s="19"/>
      <c r="Q26" s="34">
        <f t="shared" si="11"/>
        <v>0</v>
      </c>
      <c r="R26" s="34">
        <f t="shared" si="12"/>
        <v>0</v>
      </c>
      <c r="S26" s="34">
        <f>IF((Q26-R26)&gt;0,(Q26-R26)*Reference!D51,0)</f>
        <v>0</v>
      </c>
      <c r="T26" s="34">
        <f>IF((R26)&gt;0,(R26)*Reference!D51,0)</f>
        <v>0</v>
      </c>
      <c r="U26" s="143">
        <f>IF(Q26&gt;0, Q26*Reference!$B$196*(1/Reference!$A$209)*Reference!$A$210,0)</f>
        <v>0</v>
      </c>
      <c r="V26" s="143">
        <f>IF(Q26&gt;0,Q26*Reference!$C$196*(1/Reference!$A$209)*Reference!$A$210,0)</f>
        <v>0</v>
      </c>
      <c r="W26" s="34">
        <f>IFERROR(S26+T26+(U26*Reference!$B$220)+(V26*Reference!$B$221),"")</f>
        <v>0</v>
      </c>
      <c r="X26" s="34">
        <f t="shared" ref="X26:X36" si="14">(D26+E26-G26-SUM(K26:O26))*(1-C26)</f>
        <v>0</v>
      </c>
      <c r="Y26" s="34">
        <f t="shared" si="4"/>
        <v>0</v>
      </c>
      <c r="Z26" s="34">
        <f>IF(X26&gt;0,(X26)*Reference!D51,0)</f>
        <v>0</v>
      </c>
      <c r="AA26" s="140">
        <f>IF((X26+Y26)&gt;0, (X26+Y26)*Reference!$B$196*(1/Reference!$A$209)*Reference!$A$210,0)</f>
        <v>0</v>
      </c>
      <c r="AB26" s="140">
        <f>IF((X26+Y26)&gt;0,(X26+Y26)*Reference!$C$196*(1/Reference!$A$209)*Reference!$A$210,0)</f>
        <v>0</v>
      </c>
      <c r="AC26" s="34">
        <f>IFERROR(Z26+(AA26*Reference!$B$220)+(AB26*Reference!$B$221),"")</f>
        <v>0</v>
      </c>
      <c r="AD26" s="34" t="str">
        <f t="shared" si="5"/>
        <v/>
      </c>
      <c r="AE26" s="34" t="str">
        <f t="shared" si="6"/>
        <v/>
      </c>
    </row>
    <row r="27" spans="1:31" x14ac:dyDescent="0.3">
      <c r="A27" s="129" t="str">
        <f>CONCATENATE(Reference!$A$49, " ", Reference!A52)</f>
        <v>Distillate No. 1 High Sulfur</v>
      </c>
      <c r="B27" s="129"/>
      <c r="C27" s="26">
        <v>0</v>
      </c>
      <c r="D27" s="16"/>
      <c r="E27" s="20"/>
      <c r="F27" s="21">
        <v>0</v>
      </c>
      <c r="G27" s="35">
        <f t="shared" si="13"/>
        <v>0</v>
      </c>
      <c r="H27" s="20"/>
      <c r="I27" s="20"/>
      <c r="J27" s="20"/>
      <c r="K27" s="19"/>
      <c r="L27" s="19"/>
      <c r="M27" s="19"/>
      <c r="N27" s="19"/>
      <c r="O27" s="19"/>
      <c r="P27" s="19"/>
      <c r="Q27" s="34">
        <f t="shared" si="11"/>
        <v>0</v>
      </c>
      <c r="R27" s="34">
        <f t="shared" si="12"/>
        <v>0</v>
      </c>
      <c r="S27" s="34">
        <f>IF((Q27-R27)&gt;0,(Q27-R27)*Reference!D52,0)</f>
        <v>0</v>
      </c>
      <c r="T27" s="34">
        <f>IF((R27)&gt;0,(R27)*Reference!D52,0)</f>
        <v>0</v>
      </c>
      <c r="U27" s="143">
        <f>IF(Q27&gt;0, Q27*Reference!$B$196*(1/Reference!$A$209)*Reference!$A$210,0)</f>
        <v>0</v>
      </c>
      <c r="V27" s="143">
        <f>IF(Q27&gt;0,Q27*Reference!$C$196*(1/Reference!$A$209)*Reference!$A$210,0)</f>
        <v>0</v>
      </c>
      <c r="W27" s="34">
        <f>IFERROR(S27+T27+(U27*Reference!$B$220)+(V27*Reference!$B$221),"")</f>
        <v>0</v>
      </c>
      <c r="X27" s="34">
        <f t="shared" si="14"/>
        <v>0</v>
      </c>
      <c r="Y27" s="34">
        <f t="shared" si="4"/>
        <v>0</v>
      </c>
      <c r="Z27" s="34">
        <f>IF(X27&gt;0,(X27)*Reference!D52,0)</f>
        <v>0</v>
      </c>
      <c r="AA27" s="140">
        <f>IF((X27+Y27)&gt;0, (X27+Y27)*Reference!$B$196*(1/Reference!$A$209)*Reference!$A$210,0)</f>
        <v>0</v>
      </c>
      <c r="AB27" s="140">
        <f>IF((X27+Y27)&gt;0,(X27+Y27)*Reference!$C$196*(1/Reference!$A$209)*Reference!$A$210,0)</f>
        <v>0</v>
      </c>
      <c r="AC27" s="34">
        <f>IFERROR(Z27+(AA27*Reference!$B$220)+(AB27*Reference!$B$221),"")</f>
        <v>0</v>
      </c>
      <c r="AD27" s="34" t="str">
        <f t="shared" si="5"/>
        <v/>
      </c>
      <c r="AE27" s="34" t="str">
        <f t="shared" si="6"/>
        <v/>
      </c>
    </row>
    <row r="28" spans="1:31" x14ac:dyDescent="0.3">
      <c r="A28" s="129" t="str">
        <f>CONCATENATE(Reference!$A$53, " ", Reference!A54)</f>
        <v>Distillate No. 2 Ultra Low Sulfur</v>
      </c>
      <c r="B28" s="129"/>
      <c r="C28" s="26">
        <v>0</v>
      </c>
      <c r="D28" s="16"/>
      <c r="E28" s="20"/>
      <c r="F28" s="21">
        <v>0</v>
      </c>
      <c r="G28" s="35">
        <f t="shared" si="13"/>
        <v>0</v>
      </c>
      <c r="H28" s="20"/>
      <c r="I28" s="20"/>
      <c r="J28" s="20"/>
      <c r="K28" s="19"/>
      <c r="L28" s="19"/>
      <c r="M28" s="19"/>
      <c r="N28" s="19"/>
      <c r="O28" s="19"/>
      <c r="P28" s="19"/>
      <c r="Q28" s="34">
        <f t="shared" si="11"/>
        <v>0</v>
      </c>
      <c r="R28" s="34">
        <f t="shared" si="12"/>
        <v>0</v>
      </c>
      <c r="S28" s="34">
        <f>IF((Q28-R28)&gt;0,(Q28-R28)*Reference!D54,0)</f>
        <v>0</v>
      </c>
      <c r="T28" s="34">
        <f>IF((R28)&gt;0,(R28)*Reference!D54,0)</f>
        <v>0</v>
      </c>
      <c r="U28" s="143">
        <f>IF(Q28&gt;0, Q28*Reference!$B$196*(1/Reference!$A$209)*Reference!$A$210,0)</f>
        <v>0</v>
      </c>
      <c r="V28" s="143">
        <f>IF(Q28&gt;0,Q28*Reference!$C$196*(1/Reference!$A$209)*Reference!$A$210,0)</f>
        <v>0</v>
      </c>
      <c r="W28" s="34">
        <f>IFERROR(S28+T28+(U28*Reference!$B$220)+(V28*Reference!$B$221),"")</f>
        <v>0</v>
      </c>
      <c r="X28" s="34">
        <f t="shared" si="14"/>
        <v>0</v>
      </c>
      <c r="Y28" s="34">
        <f t="shared" si="4"/>
        <v>0</v>
      </c>
      <c r="Z28" s="34">
        <f>IF(X28&gt;0,(X28)*Reference!D54,0)</f>
        <v>0</v>
      </c>
      <c r="AA28" s="140">
        <f>IF((X28+Y28)&gt;0, (X28+Y28)*Reference!$B$196*(1/Reference!$A$209)*Reference!$A$210,0)</f>
        <v>0</v>
      </c>
      <c r="AB28" s="140">
        <f>IF((X28+Y28)&gt;0,(X28+Y28)*Reference!$C$196*(1/Reference!$A$209)*Reference!$A$210,0)</f>
        <v>0</v>
      </c>
      <c r="AC28" s="34">
        <f>IFERROR(Z28+(AA28*Reference!$B$220)+(AB28*Reference!$B$221),"")</f>
        <v>0</v>
      </c>
      <c r="AD28" s="34" t="str">
        <f t="shared" si="5"/>
        <v/>
      </c>
      <c r="AE28" s="34" t="str">
        <f t="shared" si="6"/>
        <v/>
      </c>
    </row>
    <row r="29" spans="1:31" x14ac:dyDescent="0.3">
      <c r="A29" s="129" t="str">
        <f>CONCATENATE(Reference!$A$53, " ", Reference!A55)</f>
        <v>Distillate No. 2 Low Sulfur</v>
      </c>
      <c r="B29" s="129"/>
      <c r="C29" s="26">
        <v>0</v>
      </c>
      <c r="D29" s="16"/>
      <c r="E29" s="20"/>
      <c r="F29" s="21">
        <v>0</v>
      </c>
      <c r="G29" s="35">
        <f t="shared" si="13"/>
        <v>0</v>
      </c>
      <c r="H29" s="20"/>
      <c r="I29" s="20"/>
      <c r="J29" s="20"/>
      <c r="K29" s="19"/>
      <c r="L29" s="19"/>
      <c r="M29" s="19"/>
      <c r="N29" s="19"/>
      <c r="O29" s="19"/>
      <c r="P29" s="19"/>
      <c r="Q29" s="34">
        <f t="shared" si="11"/>
        <v>0</v>
      </c>
      <c r="R29" s="34">
        <f t="shared" si="12"/>
        <v>0</v>
      </c>
      <c r="S29" s="34">
        <f>IF((Q29-R29)&gt;0,(Q29-R29)*Reference!D55,0)</f>
        <v>0</v>
      </c>
      <c r="T29" s="34">
        <f>IF((R29)&gt;0,(R29)*Reference!D55,0)</f>
        <v>0</v>
      </c>
      <c r="U29" s="143">
        <f>IF(Q29&gt;0, Q29*Reference!$B$196*(1/Reference!$A$209)*Reference!$A$210,0)</f>
        <v>0</v>
      </c>
      <c r="V29" s="143">
        <f>IF(Q29&gt;0,Q29*Reference!$C$196*(1/Reference!$A$209)*Reference!$A$210,0)</f>
        <v>0</v>
      </c>
      <c r="W29" s="34">
        <f>IFERROR(S29+T29+(U29*Reference!$B$220)+(V29*Reference!$B$221),"")</f>
        <v>0</v>
      </c>
      <c r="X29" s="34">
        <f t="shared" si="14"/>
        <v>0</v>
      </c>
      <c r="Y29" s="34">
        <f t="shared" si="4"/>
        <v>0</v>
      </c>
      <c r="Z29" s="34">
        <f>IF(X29&gt;0,(X29)*Reference!D55,0)</f>
        <v>0</v>
      </c>
      <c r="AA29" s="140">
        <f>IF((X29+Y29)&gt;0, (X29+Y29)*Reference!$B$196*(1/Reference!$A$209)*Reference!$A$210,0)</f>
        <v>0</v>
      </c>
      <c r="AB29" s="140">
        <f>IF((X29+Y29)&gt;0,(X29+Y29)*Reference!$C$196*(1/Reference!$A$209)*Reference!$A$210,0)</f>
        <v>0</v>
      </c>
      <c r="AC29" s="34">
        <f>IFERROR(Z29+(AA29*Reference!$B$220)+(AB29*Reference!$B$221),"")</f>
        <v>0</v>
      </c>
      <c r="AD29" s="34" t="str">
        <f t="shared" si="5"/>
        <v/>
      </c>
      <c r="AE29" s="34" t="str">
        <f t="shared" si="6"/>
        <v/>
      </c>
    </row>
    <row r="30" spans="1:31" x14ac:dyDescent="0.3">
      <c r="A30" s="129" t="str">
        <f>CONCATENATE(Reference!$A$53, " ", Reference!A56)</f>
        <v>Distillate No. 2 High Sulfur</v>
      </c>
      <c r="B30" s="129"/>
      <c r="C30" s="26">
        <v>0</v>
      </c>
      <c r="D30" s="16"/>
      <c r="E30" s="20"/>
      <c r="F30" s="21">
        <v>0</v>
      </c>
      <c r="G30" s="35">
        <f t="shared" si="13"/>
        <v>0</v>
      </c>
      <c r="H30" s="20"/>
      <c r="I30" s="20"/>
      <c r="J30" s="20"/>
      <c r="K30" s="19"/>
      <c r="L30" s="19"/>
      <c r="M30" s="19"/>
      <c r="N30" s="19"/>
      <c r="O30" s="19"/>
      <c r="P30" s="19"/>
      <c r="Q30" s="34">
        <f t="shared" si="11"/>
        <v>0</v>
      </c>
      <c r="R30" s="34">
        <f t="shared" si="12"/>
        <v>0</v>
      </c>
      <c r="S30" s="34">
        <f>IF((Q30-R30)&gt;0,(Q30-R30)*Reference!D56,0)</f>
        <v>0</v>
      </c>
      <c r="T30" s="34">
        <f>IF((R30)&gt;0,(R30)*Reference!D56,0)</f>
        <v>0</v>
      </c>
      <c r="U30" s="143">
        <f>IF(Q30&gt;0, Q30*Reference!$B$196*(1/Reference!$A$209)*Reference!$A$210,0)</f>
        <v>0</v>
      </c>
      <c r="V30" s="143">
        <f>IF(Q30&gt;0,Q30*Reference!$C$196*(1/Reference!$A$209)*Reference!$A$210,0)</f>
        <v>0</v>
      </c>
      <c r="W30" s="34">
        <f>IFERROR(S30+T30+(U30*Reference!$B$220)+(V30*Reference!$B$221),"")</f>
        <v>0</v>
      </c>
      <c r="X30" s="34">
        <f t="shared" si="14"/>
        <v>0</v>
      </c>
      <c r="Y30" s="34">
        <f t="shared" si="4"/>
        <v>0</v>
      </c>
      <c r="Z30" s="34">
        <f>IF(X30&gt;0,(X30)*Reference!D56,0)</f>
        <v>0</v>
      </c>
      <c r="AA30" s="140">
        <f>IF((X30+Y30)&gt;0, (X30+Y30)*Reference!$B$196*(1/Reference!$A$209)*Reference!$A$210,0)</f>
        <v>0</v>
      </c>
      <c r="AB30" s="140">
        <f>IF((X30+Y30)&gt;0,(X30+Y30)*Reference!$C$196*(1/Reference!$A$209)*Reference!$A$210,0)</f>
        <v>0</v>
      </c>
      <c r="AC30" s="34">
        <f>IFERROR(Z30+(AA30*Reference!$B$220)+(AB30*Reference!$B$221),"")</f>
        <v>0</v>
      </c>
      <c r="AD30" s="34" t="str">
        <f t="shared" si="5"/>
        <v/>
      </c>
      <c r="AE30" s="34" t="str">
        <f t="shared" si="6"/>
        <v/>
      </c>
    </row>
    <row r="31" spans="1:31" x14ac:dyDescent="0.3">
      <c r="A31" s="129" t="str">
        <f>Reference!A57</f>
        <v>Distillate Fuel Oil No. 4</v>
      </c>
      <c r="B31" s="129"/>
      <c r="C31" s="26">
        <v>0</v>
      </c>
      <c r="D31" s="16"/>
      <c r="E31" s="20"/>
      <c r="F31" s="21">
        <v>0</v>
      </c>
      <c r="G31" s="35">
        <f t="shared" si="13"/>
        <v>0</v>
      </c>
      <c r="H31" s="20"/>
      <c r="I31" s="20"/>
      <c r="J31" s="20"/>
      <c r="K31" s="19"/>
      <c r="L31" s="19"/>
      <c r="M31" s="19"/>
      <c r="N31" s="19"/>
      <c r="O31" s="19"/>
      <c r="P31" s="19"/>
      <c r="Q31" s="34">
        <f t="shared" si="11"/>
        <v>0</v>
      </c>
      <c r="R31" s="34">
        <f t="shared" si="12"/>
        <v>0</v>
      </c>
      <c r="S31" s="34">
        <f>IF((Q31-R31)&gt;0,(Q31-R31)*Reference!D57,0)</f>
        <v>0</v>
      </c>
      <c r="T31" s="34">
        <f>IF((R31)&gt;0,(R31)*Reference!D57,0)</f>
        <v>0</v>
      </c>
      <c r="U31" s="143">
        <f>IF(Q31&gt;0, Q31*Reference!$B$196*(1/Reference!$A$209)*Reference!$A$210,0)</f>
        <v>0</v>
      </c>
      <c r="V31" s="143">
        <f>IF(Q31&gt;0,Q31*Reference!$C$196*(1/Reference!$A$209)*Reference!$A$210,0)</f>
        <v>0</v>
      </c>
      <c r="W31" s="34">
        <f>IFERROR(S31+T31+(U31*Reference!$B$220)+(V31*Reference!$B$221),"")</f>
        <v>0</v>
      </c>
      <c r="X31" s="34">
        <f t="shared" si="14"/>
        <v>0</v>
      </c>
      <c r="Y31" s="34">
        <f t="shared" si="4"/>
        <v>0</v>
      </c>
      <c r="Z31" s="34">
        <f>IF(X31&gt;0,(X31)*Reference!D57,0)</f>
        <v>0</v>
      </c>
      <c r="AA31" s="140">
        <f>IF((X31+Y31)&gt;0, (X31+Y31)*Reference!$B$196*(1/Reference!$A$209)*Reference!$A$210,0)</f>
        <v>0</v>
      </c>
      <c r="AB31" s="140">
        <f>IF((X31+Y31)&gt;0,(X31+Y31)*Reference!$C$196*(1/Reference!$A$209)*Reference!$A$210,0)</f>
        <v>0</v>
      </c>
      <c r="AC31" s="34">
        <f>IFERROR(Z31+(AA31*Reference!$B$220)+(AB31*Reference!$B$221),"")</f>
        <v>0</v>
      </c>
      <c r="AD31" s="34" t="str">
        <f t="shared" si="5"/>
        <v/>
      </c>
      <c r="AE31" s="34" t="str">
        <f t="shared" si="6"/>
        <v/>
      </c>
    </row>
    <row r="32" spans="1:31" x14ac:dyDescent="0.3">
      <c r="A32" s="129" t="str">
        <f>Reference!A58</f>
        <v>Residual Fuel Oil No. 5 (Navy Special)</v>
      </c>
      <c r="B32" s="129"/>
      <c r="C32" s="26">
        <v>0</v>
      </c>
      <c r="D32" s="16"/>
      <c r="E32" s="20"/>
      <c r="F32" s="21">
        <v>0</v>
      </c>
      <c r="G32" s="35">
        <f t="shared" si="13"/>
        <v>0</v>
      </c>
      <c r="H32" s="20"/>
      <c r="I32" s="20"/>
      <c r="J32" s="20"/>
      <c r="K32" s="19"/>
      <c r="L32" s="19"/>
      <c r="M32" s="19"/>
      <c r="N32" s="19"/>
      <c r="O32" s="19"/>
      <c r="P32" s="19"/>
      <c r="Q32" s="34">
        <f t="shared" si="11"/>
        <v>0</v>
      </c>
      <c r="R32" s="34">
        <f t="shared" si="12"/>
        <v>0</v>
      </c>
      <c r="S32" s="34">
        <f>IF((Q32-R32)&gt;0,(Q32-R32)*Reference!D58,0)</f>
        <v>0</v>
      </c>
      <c r="T32" s="34">
        <f>IF((R32)&gt;0,(R32)*Reference!D58,0)</f>
        <v>0</v>
      </c>
      <c r="U32" s="143">
        <f>IF(Q32&gt;0,Q32*Reference!$A$212*Reference!B123*Reference!$B$182*Reference!$A$210,0)</f>
        <v>0</v>
      </c>
      <c r="V32" s="143">
        <f>IF(Q32&gt;0,Q32*Reference!$A$212*Reference!B123*Reference!$C$182*Reference!$A$210,0)</f>
        <v>0</v>
      </c>
      <c r="W32" s="34">
        <f>IFERROR(S32+T32+(U32*Reference!$B$220)+(V32*Reference!$B$221),"")</f>
        <v>0</v>
      </c>
      <c r="X32" s="34">
        <f t="shared" si="14"/>
        <v>0</v>
      </c>
      <c r="Y32" s="34">
        <f t="shared" si="4"/>
        <v>0</v>
      </c>
      <c r="Z32" s="34">
        <f>IF(X32&gt;0,(X32)*Reference!D58,0)</f>
        <v>0</v>
      </c>
      <c r="AA32" s="140">
        <f>IF((X32+Y32)&gt;0, (X32+Y32)*Reference!$A$212*Reference!B123*Reference!$B$182*Reference!$A$210,0)</f>
        <v>0</v>
      </c>
      <c r="AB32" s="140">
        <f>IF((X32+Y32)&gt;0,(X32+Y32)*Reference!$A$212*Reference!B123*Reference!$C$182*Reference!$A$210,0)</f>
        <v>0</v>
      </c>
      <c r="AC32" s="34">
        <f>IFERROR(Z32+(AA32*Reference!$B$220)+(AB32*Reference!$B$221),"")</f>
        <v>0</v>
      </c>
      <c r="AD32" s="34" t="str">
        <f t="shared" si="5"/>
        <v/>
      </c>
      <c r="AE32" s="34" t="str">
        <f t="shared" si="6"/>
        <v/>
      </c>
    </row>
    <row r="33" spans="1:31" x14ac:dyDescent="0.3">
      <c r="A33" s="129" t="str">
        <f>Reference!A59</f>
        <v>Residual Fuel Oil No. 6 (a.k.a. Bunker C)</v>
      </c>
      <c r="B33" s="129"/>
      <c r="C33" s="26">
        <v>0</v>
      </c>
      <c r="D33" s="16"/>
      <c r="E33" s="20"/>
      <c r="F33" s="21">
        <v>0</v>
      </c>
      <c r="G33" s="35">
        <f t="shared" si="13"/>
        <v>0</v>
      </c>
      <c r="H33" s="20"/>
      <c r="I33" s="20"/>
      <c r="J33" s="20"/>
      <c r="K33" s="19"/>
      <c r="L33" s="19"/>
      <c r="M33" s="19"/>
      <c r="N33" s="19"/>
      <c r="O33" s="19"/>
      <c r="P33" s="19"/>
      <c r="Q33" s="34">
        <f t="shared" si="11"/>
        <v>0</v>
      </c>
      <c r="R33" s="34">
        <f t="shared" si="12"/>
        <v>0</v>
      </c>
      <c r="S33" s="34">
        <f>IF((Q33-R33)&gt;0,(Q33-R33)*Reference!D59,0)</f>
        <v>0</v>
      </c>
      <c r="T33" s="34">
        <f>IF((R33)&gt;0,(R33)*Reference!D59,0)</f>
        <v>0</v>
      </c>
      <c r="U33" s="143">
        <f>IF(Q33&gt;0,Q33*Reference!$A$212*Reference!B124*Reference!$B$182*Reference!$A$210,0)</f>
        <v>0</v>
      </c>
      <c r="V33" s="143">
        <f>IF(Q33&gt;0,Q33*Reference!$A$212*Reference!B124*Reference!$C$182*Reference!$A$210,0)</f>
        <v>0</v>
      </c>
      <c r="W33" s="34">
        <f>IFERROR(S33+T33+(U33*Reference!$B$220)+(V33*Reference!$B$221),"")</f>
        <v>0</v>
      </c>
      <c r="X33" s="34">
        <f t="shared" si="14"/>
        <v>0</v>
      </c>
      <c r="Y33" s="34">
        <f t="shared" si="4"/>
        <v>0</v>
      </c>
      <c r="Z33" s="34">
        <f>IF(X33&gt;0,(X33)*Reference!D59,0)</f>
        <v>0</v>
      </c>
      <c r="AA33" s="140">
        <f>IF((X33+Y33)&gt;0, (X33+Y33)*Reference!$A$212*Reference!B124*Reference!$B$182*Reference!$A$210,0)</f>
        <v>0</v>
      </c>
      <c r="AB33" s="140">
        <f>IF((X33+Y33)&gt;0,(X33+Y33)*Reference!$A$212*Reference!B124*Reference!$C$182*Reference!$A$210,0)</f>
        <v>0</v>
      </c>
      <c r="AC33" s="34">
        <f>IFERROR(Z33+(AA33*Reference!$B$220)+(AB33*Reference!$B$221),"")</f>
        <v>0</v>
      </c>
      <c r="AD33" s="34" t="str">
        <f t="shared" si="5"/>
        <v/>
      </c>
      <c r="AE33" s="34" t="str">
        <f t="shared" si="6"/>
        <v/>
      </c>
    </row>
    <row r="34" spans="1:31" x14ac:dyDescent="0.3">
      <c r="A34" s="129" t="str">
        <f>Reference!A60</f>
        <v>Kerosene-Type Jet Fuel</v>
      </c>
      <c r="B34" s="129"/>
      <c r="C34" s="26">
        <v>0</v>
      </c>
      <c r="D34" s="16"/>
      <c r="E34" s="20"/>
      <c r="F34" s="21">
        <v>0</v>
      </c>
      <c r="G34" s="35">
        <f t="shared" si="13"/>
        <v>0</v>
      </c>
      <c r="H34" s="20"/>
      <c r="I34" s="20"/>
      <c r="J34" s="20"/>
      <c r="K34" s="19"/>
      <c r="L34" s="19"/>
      <c r="M34" s="19"/>
      <c r="N34" s="19"/>
      <c r="O34" s="19"/>
      <c r="P34" s="19"/>
      <c r="Q34" s="34">
        <f t="shared" si="11"/>
        <v>0</v>
      </c>
      <c r="R34" s="34">
        <f t="shared" si="12"/>
        <v>0</v>
      </c>
      <c r="S34" s="34">
        <f>IF((Q34-R34)&gt;0,(Q34-R34)*Reference!D60,0)</f>
        <v>0</v>
      </c>
      <c r="T34" s="34">
        <f>IF((R34)&gt;0,(R34)*Reference!D60,0)</f>
        <v>0</v>
      </c>
      <c r="U34" s="143">
        <f>IF(Q34&gt;0,Q34*Reference!$A$212*Reference!B148*Reference!$B$182*Reference!$A$210,0)</f>
        <v>0</v>
      </c>
      <c r="V34" s="143">
        <f>IF(Q34&gt;0,Q34*Reference!$A$212*Reference!B148*Reference!$C$182*Reference!$A$210,0)</f>
        <v>0</v>
      </c>
      <c r="W34" s="34">
        <f>IFERROR(S34+T34+(U34*Reference!$B$220)+(V34*Reference!$B$221),"")</f>
        <v>0</v>
      </c>
      <c r="X34" s="34">
        <f t="shared" si="14"/>
        <v>0</v>
      </c>
      <c r="Y34" s="34">
        <f t="shared" si="4"/>
        <v>0</v>
      </c>
      <c r="Z34" s="34">
        <f>IF(X34&gt;0,(X34)*Reference!D60,0)</f>
        <v>0</v>
      </c>
      <c r="AA34" s="140">
        <f>IF((X34+Y34)&gt;0, (X34+Y34)*Reference!$A$212*Reference!B148*Reference!$B$182*Reference!$A$210,0)</f>
        <v>0</v>
      </c>
      <c r="AB34" s="140">
        <f>IF((X34+Y34)&gt;0,(X34+Y34)*Reference!$A$212*Reference!B148*Reference!$C$182*Reference!$A$210,0)</f>
        <v>0</v>
      </c>
      <c r="AC34" s="34">
        <f>IFERROR(Z34+(AA34*Reference!$B$220)+(AB34*Reference!$B$221),"")</f>
        <v>0</v>
      </c>
      <c r="AD34" s="34" t="str">
        <f t="shared" si="5"/>
        <v/>
      </c>
      <c r="AE34" s="34" t="str">
        <f t="shared" si="6"/>
        <v/>
      </c>
    </row>
    <row r="35" spans="1:31" x14ac:dyDescent="0.3">
      <c r="A35" s="129" t="str">
        <f>Reference!A61</f>
        <v>Kerosene</v>
      </c>
      <c r="B35" s="129"/>
      <c r="C35" s="26">
        <v>0</v>
      </c>
      <c r="D35" s="16"/>
      <c r="E35" s="20"/>
      <c r="F35" s="21">
        <v>0</v>
      </c>
      <c r="G35" s="35">
        <f t="shared" si="13"/>
        <v>0</v>
      </c>
      <c r="H35" s="20"/>
      <c r="I35" s="20"/>
      <c r="J35" s="20"/>
      <c r="K35" s="19"/>
      <c r="L35" s="19"/>
      <c r="M35" s="19"/>
      <c r="N35" s="19"/>
      <c r="O35" s="19"/>
      <c r="P35" s="19"/>
      <c r="Q35" s="34">
        <f t="shared" si="11"/>
        <v>0</v>
      </c>
      <c r="R35" s="34">
        <f t="shared" si="12"/>
        <v>0</v>
      </c>
      <c r="S35" s="34">
        <f>IF((Q35-R35)&gt;0,(Q35-R35)*Reference!D61,0)</f>
        <v>0</v>
      </c>
      <c r="T35" s="34">
        <f>IF((R35)&gt;0,(R35)*Reference!D61,0)</f>
        <v>0</v>
      </c>
      <c r="U35" s="143">
        <f>IF(Q35&gt;0,Q35*Reference!$A$212*Reference!B126*Reference!$B$182*Reference!$A$210,0)</f>
        <v>0</v>
      </c>
      <c r="V35" s="143">
        <f>IF(Q35&gt;0,Q35*Reference!$A$212*Reference!B126*Reference!$C$182*Reference!$A$210,0)</f>
        <v>0</v>
      </c>
      <c r="W35" s="34">
        <f>IFERROR(S35+T35+(U35*Reference!$B$220)+(V35*Reference!$B$221),"")</f>
        <v>0</v>
      </c>
      <c r="X35" s="34">
        <f t="shared" si="14"/>
        <v>0</v>
      </c>
      <c r="Y35" s="34">
        <f t="shared" si="4"/>
        <v>0</v>
      </c>
      <c r="Z35" s="34">
        <f>IF(X35&gt;0,(X35)*Reference!D61,0)</f>
        <v>0</v>
      </c>
      <c r="AA35" s="140">
        <f>IF((X35+Y35)&gt;0, (X35+Y35)*Reference!$A$212*Reference!B126*Reference!$B$182*Reference!$A$210,0)</f>
        <v>0</v>
      </c>
      <c r="AB35" s="140">
        <f>IF((X35+Y35)&gt;0,(X35+Y35)*Reference!$A$212*Reference!B126*Reference!$C$182*Reference!$A$210,0)</f>
        <v>0</v>
      </c>
      <c r="AC35" s="34">
        <f>IFERROR(Z35+(AA35*Reference!$B$220)+(AB35*Reference!$B$221),"")</f>
        <v>0</v>
      </c>
      <c r="AD35" s="34" t="str">
        <f t="shared" si="5"/>
        <v/>
      </c>
      <c r="AE35" s="34" t="str">
        <f t="shared" si="6"/>
        <v/>
      </c>
    </row>
    <row r="36" spans="1:31" x14ac:dyDescent="0.3">
      <c r="A36" s="130" t="str">
        <f>Reference!A62</f>
        <v>Diesel—Other</v>
      </c>
      <c r="B36" s="130"/>
      <c r="C36" s="27">
        <v>0</v>
      </c>
      <c r="D36" s="16"/>
      <c r="E36" s="23"/>
      <c r="F36" s="24">
        <v>0</v>
      </c>
      <c r="G36" s="35">
        <f t="shared" si="13"/>
        <v>0</v>
      </c>
      <c r="H36" s="23"/>
      <c r="I36" s="23"/>
      <c r="J36" s="23"/>
      <c r="K36" s="25"/>
      <c r="L36" s="25"/>
      <c r="M36" s="25"/>
      <c r="N36" s="25"/>
      <c r="O36" s="25"/>
      <c r="P36" s="25"/>
      <c r="Q36" s="144">
        <f t="shared" si="11"/>
        <v>0</v>
      </c>
      <c r="R36" s="144">
        <f t="shared" si="12"/>
        <v>0</v>
      </c>
      <c r="S36" s="145">
        <f>IF((Q36-R36)&gt;0,(Q36-R36)*Reference!D62,0)</f>
        <v>0</v>
      </c>
      <c r="T36" s="144">
        <f>IF((R36)&gt;0,(R36)*Reference!D62,0)</f>
        <v>0</v>
      </c>
      <c r="U36" s="146">
        <f>IF(Q36&gt;0, Q36*Reference!$B$196*(1/Reference!$A$209)*Reference!$A$210,0)</f>
        <v>0</v>
      </c>
      <c r="V36" s="146">
        <f>IF(Q36&gt;0,Q36*Reference!$C$196*(1/Reference!$A$209)*Reference!$A$210,0)</f>
        <v>0</v>
      </c>
      <c r="W36" s="144">
        <f>IFERROR(S36+T36+(U36*Reference!$B$220)+(V36*Reference!$B$221),"")</f>
        <v>0</v>
      </c>
      <c r="X36" s="34">
        <f t="shared" si="14"/>
        <v>0</v>
      </c>
      <c r="Y36" s="144">
        <f t="shared" si="4"/>
        <v>0</v>
      </c>
      <c r="Z36" s="145">
        <f>IF(X36&gt;0,(X36)*Reference!D62,0)</f>
        <v>0</v>
      </c>
      <c r="AA36" s="147">
        <f>IF((X36+Y36)&gt;0, (X36+Y36)*Reference!$B$196*(1/Reference!$A$209)*Reference!$A$210,0)</f>
        <v>0</v>
      </c>
      <c r="AB36" s="147">
        <f>IF((X36+Y36)&gt;0,(X36+Y36)*Reference!$C$196*(1/Reference!$A$209)*Reference!$A$210,0)</f>
        <v>0</v>
      </c>
      <c r="AC36" s="144">
        <f>IFERROR(Z36+(AA36*Reference!$B$220)+(AB36*Reference!$B$221),"")</f>
        <v>0</v>
      </c>
      <c r="AD36" s="34" t="str">
        <f t="shared" si="5"/>
        <v/>
      </c>
      <c r="AE36" s="34" t="str">
        <f t="shared" si="6"/>
        <v/>
      </c>
    </row>
    <row r="37" spans="1:31" x14ac:dyDescent="0.3">
      <c r="A37" s="131" t="s">
        <v>41</v>
      </c>
      <c r="B37" s="131"/>
      <c r="C37" s="131"/>
      <c r="D37" s="138"/>
      <c r="E37" s="122"/>
      <c r="F37" s="122"/>
      <c r="G37" s="139"/>
      <c r="H37" s="122"/>
      <c r="I37" s="122"/>
      <c r="J37" s="122"/>
      <c r="K37" s="122"/>
      <c r="L37" s="123"/>
      <c r="M37" s="123"/>
      <c r="N37" s="123"/>
      <c r="O37" s="123"/>
      <c r="P37" s="123"/>
      <c r="Q37" s="34"/>
      <c r="R37" s="34"/>
      <c r="S37" s="34"/>
      <c r="T37" s="34"/>
      <c r="U37" s="125"/>
      <c r="V37" s="125"/>
      <c r="W37" s="123"/>
      <c r="X37" s="126"/>
      <c r="Y37" s="34"/>
      <c r="Z37" s="34"/>
      <c r="AA37" s="140"/>
      <c r="AB37" s="140"/>
      <c r="AC37" s="34"/>
      <c r="AD37" s="34" t="str">
        <f t="shared" si="5"/>
        <v/>
      </c>
      <c r="AE37" s="34" t="str">
        <f t="shared" si="6"/>
        <v/>
      </c>
    </row>
    <row r="38" spans="1:31" x14ac:dyDescent="0.3">
      <c r="A38" s="129" t="str">
        <f>Reference!A64</f>
        <v>Naphthas (&lt;401 °F)</v>
      </c>
      <c r="B38" s="129"/>
      <c r="C38" s="26">
        <v>0</v>
      </c>
      <c r="D38" s="16"/>
      <c r="E38" s="20"/>
      <c r="F38" s="21">
        <v>0</v>
      </c>
      <c r="G38" s="35">
        <f>SUM(H38:J38)</f>
        <v>0</v>
      </c>
      <c r="H38" s="20"/>
      <c r="I38" s="20"/>
      <c r="J38" s="20"/>
      <c r="K38" s="19"/>
      <c r="L38" s="19"/>
      <c r="M38" s="19"/>
      <c r="N38" s="19"/>
      <c r="O38" s="19"/>
      <c r="P38" s="19"/>
      <c r="Q38" s="34">
        <f>D38+E38-G38</f>
        <v>0</v>
      </c>
      <c r="R38" s="34">
        <f>(D38+E38-G38)*C38</f>
        <v>0</v>
      </c>
      <c r="S38" s="34">
        <f>IF((Q38-R38)&gt;0,(Q38-R38)*Reference!D64,0)</f>
        <v>0</v>
      </c>
      <c r="T38" s="34">
        <f>IF((R38)&gt;0,(R38)*Reference!D64,0)</f>
        <v>0</v>
      </c>
      <c r="U38" s="143">
        <f>IF(Q38&gt;0,Q38*Reference!$A$212*Reference!B137*Reference!$B$182*Reference!$A$210,0)</f>
        <v>0</v>
      </c>
      <c r="V38" s="143">
        <f>IF(Q38&gt;0,Q38*Reference!$A$212*Reference!B137*Reference!$C$182*Reference!$A$210,0)</f>
        <v>0</v>
      </c>
      <c r="W38" s="34">
        <f>IFERROR(S38+T38+(U38*Reference!$B$220)+(V38*Reference!$B$221),"")</f>
        <v>0</v>
      </c>
      <c r="X38" s="34">
        <f>(D38+E38-G38-SUM(K38:O38))*(1-C38)</f>
        <v>0</v>
      </c>
      <c r="Y38" s="34">
        <f t="shared" si="4"/>
        <v>0</v>
      </c>
      <c r="Z38" s="34">
        <f>IF(X38&gt;0,(X38)*Reference!D64,0)</f>
        <v>0</v>
      </c>
      <c r="AA38" s="140">
        <f>IF((X38+Y38)&gt;0, (X38+Y38)*Reference!$A$212*Reference!B137*Reference!$B$182*Reference!$A$210,0)</f>
        <v>0</v>
      </c>
      <c r="AB38" s="140">
        <f>IF((X38+Y38)&gt;0,(X38+Y38)*Reference!$A$212*Reference!B137*Reference!$C$182*Reference!$A$210,0)</f>
        <v>0</v>
      </c>
      <c r="AC38" s="34">
        <f>IFERROR(Z38+(AA38*Reference!$B$220)+(AB38*Reference!$B$221),"")</f>
        <v>0</v>
      </c>
      <c r="AD38" s="34" t="str">
        <f t="shared" si="5"/>
        <v/>
      </c>
      <c r="AE38" s="34" t="str">
        <f t="shared" si="6"/>
        <v/>
      </c>
    </row>
    <row r="39" spans="1:31" x14ac:dyDescent="0.3">
      <c r="A39" s="130" t="str">
        <f>Reference!A65</f>
        <v>Other Oils (&gt;401 °F)</v>
      </c>
      <c r="B39" s="130"/>
      <c r="C39" s="27">
        <v>0</v>
      </c>
      <c r="D39" s="16"/>
      <c r="E39" s="23"/>
      <c r="F39" s="24">
        <v>0</v>
      </c>
      <c r="G39" s="35">
        <f>SUM(H39:J39)</f>
        <v>0</v>
      </c>
      <c r="H39" s="23"/>
      <c r="I39" s="23"/>
      <c r="J39" s="23"/>
      <c r="K39" s="25"/>
      <c r="L39" s="25"/>
      <c r="M39" s="25"/>
      <c r="N39" s="25"/>
      <c r="O39" s="25"/>
      <c r="P39" s="25"/>
      <c r="Q39" s="144">
        <f>D39+E39-G39</f>
        <v>0</v>
      </c>
      <c r="R39" s="144">
        <f>(D39+E39-G39)*C39</f>
        <v>0</v>
      </c>
      <c r="S39" s="145">
        <f>IF((Q39-R39)&gt;0,(Q39-R39)*Reference!D65,0)</f>
        <v>0</v>
      </c>
      <c r="T39" s="144">
        <f>IF((R39)&gt;0,(R39)*Reference!D65,0)</f>
        <v>0</v>
      </c>
      <c r="U39" s="146">
        <f>IF(Q39&gt;0,Q39*Reference!$A$212*Reference!B139*Reference!$B$182*Reference!$A$210,0)</f>
        <v>0</v>
      </c>
      <c r="V39" s="146">
        <f>IF(Q39&gt;0,Q39*Reference!$A$212*Reference!B139*Reference!$C$182*Reference!$A$210,0)</f>
        <v>0</v>
      </c>
      <c r="W39" s="144">
        <f>IFERROR(S39+T39+(U39*Reference!$B$220)+(V39*Reference!$B$221),"")</f>
        <v>0</v>
      </c>
      <c r="X39" s="34">
        <f>(D39+E39-G39-SUM(K39:O39))*(1-C39)</f>
        <v>0</v>
      </c>
      <c r="Y39" s="144">
        <f t="shared" si="4"/>
        <v>0</v>
      </c>
      <c r="Z39" s="144">
        <f>IF(X39&gt;0,(X39)*Reference!D65,0)</f>
        <v>0</v>
      </c>
      <c r="AA39" s="147">
        <f>IF((X39+Y39)&gt;0, (X39+Y39)*Reference!$A$212*Reference!B139*Reference!$B$182*Reference!$A$210,0)</f>
        <v>0</v>
      </c>
      <c r="AB39" s="147">
        <f>IF((X39+Y39)&gt;0,(X39+Y39)*Reference!$A$212*Reference!B139*Reference!$C$182*Reference!$A$210,0)</f>
        <v>0</v>
      </c>
      <c r="AC39" s="144">
        <f>IFERROR(Z39+(AA39*Reference!$B$220)+(AB39*Reference!$B$221),"")</f>
        <v>0</v>
      </c>
      <c r="AD39" s="34" t="str">
        <f t="shared" si="5"/>
        <v/>
      </c>
      <c r="AE39" s="34" t="str">
        <f t="shared" si="6"/>
        <v/>
      </c>
    </row>
    <row r="40" spans="1:31" x14ac:dyDescent="0.3">
      <c r="A40" s="131" t="s">
        <v>43</v>
      </c>
      <c r="B40" s="131"/>
      <c r="C40" s="131"/>
      <c r="D40" s="138"/>
      <c r="E40" s="122"/>
      <c r="F40" s="122"/>
      <c r="G40" s="126"/>
      <c r="H40" s="122"/>
      <c r="I40" s="122"/>
      <c r="J40" s="122"/>
      <c r="K40" s="122"/>
      <c r="L40" s="123"/>
      <c r="M40" s="123"/>
      <c r="N40" s="123"/>
      <c r="O40" s="123"/>
      <c r="P40" s="123"/>
      <c r="Q40" s="34"/>
      <c r="R40" s="34"/>
      <c r="S40" s="34"/>
      <c r="T40" s="34"/>
      <c r="U40" s="125"/>
      <c r="V40" s="125"/>
      <c r="W40" s="123"/>
      <c r="X40" s="126"/>
      <c r="Y40" s="34"/>
      <c r="Z40" s="34"/>
      <c r="AA40" s="140"/>
      <c r="AB40" s="140"/>
      <c r="AC40" s="34"/>
      <c r="AD40" s="34" t="str">
        <f t="shared" si="5"/>
        <v/>
      </c>
      <c r="AE40" s="34" t="str">
        <f t="shared" si="6"/>
        <v/>
      </c>
    </row>
    <row r="41" spans="1:31" x14ac:dyDescent="0.3">
      <c r="A41" s="129" t="str">
        <f>Reference!A67</f>
        <v>Heavy Gas Oils</v>
      </c>
      <c r="B41" s="129"/>
      <c r="C41" s="26">
        <v>0</v>
      </c>
      <c r="D41" s="16"/>
      <c r="E41" s="20"/>
      <c r="F41" s="21">
        <v>0</v>
      </c>
      <c r="G41" s="35">
        <f t="shared" ref="G41:G61" si="15">SUM(H41:J41)</f>
        <v>0</v>
      </c>
      <c r="H41" s="20"/>
      <c r="I41" s="20"/>
      <c r="J41" s="20"/>
      <c r="K41" s="19"/>
      <c r="L41" s="19"/>
      <c r="M41" s="19"/>
      <c r="N41" s="19"/>
      <c r="O41" s="19"/>
      <c r="P41" s="19"/>
      <c r="Q41" s="34">
        <f>D41+E41-G41</f>
        <v>0</v>
      </c>
      <c r="R41" s="34">
        <f>(D41+E41-G41)*C41</f>
        <v>0</v>
      </c>
      <c r="S41" s="34">
        <f>IF((Q41-R41)&gt;0,(Q41-R41)*Reference!D67,0)</f>
        <v>0</v>
      </c>
      <c r="T41" s="34">
        <f>IF((R41)&gt;0,(R41)*Reference!D67,0)</f>
        <v>0</v>
      </c>
      <c r="U41" s="143">
        <f>IF(Q41&gt;0,Q41*Reference!$A$212*Reference!B144*Reference!$B$182*Reference!$A$210,0)</f>
        <v>0</v>
      </c>
      <c r="V41" s="143">
        <f>IF(Q41&gt;0,Q41*Reference!$A$212*Reference!B144*Reference!$C$182*Reference!$A$210,0)</f>
        <v>0</v>
      </c>
      <c r="W41" s="34">
        <f>IFERROR(S41+T41+(U41*Reference!$B$220)+(V41*Reference!$B$221),"")</f>
        <v>0</v>
      </c>
      <c r="X41" s="34">
        <f>(D41+E41-G41-SUM(K41:O41))*(1-C41)</f>
        <v>0</v>
      </c>
      <c r="Y41" s="34">
        <f t="shared" si="4"/>
        <v>0</v>
      </c>
      <c r="Z41" s="34">
        <f>IF(X41&gt;0,(X41)*Reference!D67,0)</f>
        <v>0</v>
      </c>
      <c r="AA41" s="140">
        <f>IF((X41+Y41)&gt;0, (X41+Y41)*Reference!$A$212*Reference!B144*Reference!$B$182*Reference!$A$210,0)</f>
        <v>0</v>
      </c>
      <c r="AB41" s="140">
        <f>IF((X41+Y41)&gt;0,(X41+Y41)*Reference!$A$212*Reference!B144*Reference!$C$182*Reference!$A$210,0)</f>
        <v>0</v>
      </c>
      <c r="AC41" s="34">
        <f>IFERROR(Z41+(AA41*Reference!$B$220)+(AB41*Reference!$B$221),"")</f>
        <v>0</v>
      </c>
      <c r="AD41" s="34" t="str">
        <f t="shared" si="5"/>
        <v/>
      </c>
      <c r="AE41" s="34" t="str">
        <f t="shared" si="6"/>
        <v/>
      </c>
    </row>
    <row r="42" spans="1:31" x14ac:dyDescent="0.3">
      <c r="A42" s="130" t="str">
        <f>Reference!A68</f>
        <v>Residuum</v>
      </c>
      <c r="B42" s="130"/>
      <c r="C42" s="27">
        <v>0</v>
      </c>
      <c r="D42" s="16"/>
      <c r="E42" s="23"/>
      <c r="F42" s="24">
        <v>0</v>
      </c>
      <c r="G42" s="35">
        <f t="shared" si="15"/>
        <v>0</v>
      </c>
      <c r="H42" s="23"/>
      <c r="I42" s="23"/>
      <c r="J42" s="23"/>
      <c r="K42" s="25"/>
      <c r="L42" s="25"/>
      <c r="M42" s="25"/>
      <c r="N42" s="25"/>
      <c r="O42" s="25"/>
      <c r="P42" s="25"/>
      <c r="Q42" s="144">
        <f>D42+E42-G42</f>
        <v>0</v>
      </c>
      <c r="R42" s="144">
        <f>(D42+E42-G42)*C42</f>
        <v>0</v>
      </c>
      <c r="S42" s="145">
        <f>IF((Q42-R42)&gt;0,(Q42-R42)*Reference!D68,0)</f>
        <v>0</v>
      </c>
      <c r="T42" s="144">
        <f>IF((R42)&gt;0,(R42)*Reference!D68,0)</f>
        <v>0</v>
      </c>
      <c r="U42" s="146">
        <f>IF(Q42&gt;0, Q42*Reference!$B$200*(1/Reference!$A$209)*Reference!$A$210,0)</f>
        <v>0</v>
      </c>
      <c r="V42" s="146">
        <f>IF(Q42&gt;0,Q42*Reference!$C$200*(1/Reference!$A$209)*Reference!$A$210,0)</f>
        <v>0</v>
      </c>
      <c r="W42" s="144">
        <f>IFERROR(S42+T42+(U42*Reference!$B$220)+(V42*Reference!$B$221),"")</f>
        <v>0</v>
      </c>
      <c r="X42" s="34">
        <f>(D42+E42-G42-SUM(K42:O42))*(1-C42)</f>
        <v>0</v>
      </c>
      <c r="Y42" s="144">
        <f t="shared" si="4"/>
        <v>0</v>
      </c>
      <c r="Z42" s="144">
        <f>IF(X42&gt;0,(X42)*Reference!D68,0)</f>
        <v>0</v>
      </c>
      <c r="AA42" s="147">
        <f>IF((X42+Y42)&gt;0, (X42+Y42)*Reference!$B$200*(1/Reference!$A$209)*Reference!$A$210,0)</f>
        <v>0</v>
      </c>
      <c r="AB42" s="147">
        <f>IF((X42+Y42)&gt;0,(X42+Y42)*Reference!$C$200*(1/Reference!$A$209)*Reference!$A$210,0)</f>
        <v>0</v>
      </c>
      <c r="AC42" s="144">
        <f>IFERROR(Z42+(AA42*Reference!$B$220)+(AB42*Reference!$B$221),"")</f>
        <v>0</v>
      </c>
      <c r="AD42" s="34" t="str">
        <f t="shared" si="5"/>
        <v/>
      </c>
      <c r="AE42" s="34" t="str">
        <f t="shared" si="6"/>
        <v/>
      </c>
    </row>
    <row r="43" spans="1:31" x14ac:dyDescent="0.3">
      <c r="A43" s="131" t="s">
        <v>113</v>
      </c>
      <c r="B43" s="131"/>
      <c r="C43" s="131"/>
      <c r="D43" s="138"/>
      <c r="E43" s="122"/>
      <c r="F43" s="122"/>
      <c r="G43" s="126"/>
      <c r="H43" s="122"/>
      <c r="I43" s="122"/>
      <c r="J43" s="122"/>
      <c r="K43" s="122"/>
      <c r="L43" s="123"/>
      <c r="M43" s="123"/>
      <c r="N43" s="123"/>
      <c r="O43" s="123"/>
      <c r="P43" s="123"/>
      <c r="Q43" s="34"/>
      <c r="R43" s="34"/>
      <c r="S43" s="34"/>
      <c r="T43" s="34"/>
      <c r="U43" s="125"/>
      <c r="V43" s="125"/>
      <c r="W43" s="123"/>
      <c r="X43" s="126"/>
      <c r="Y43" s="34"/>
      <c r="Z43" s="34"/>
      <c r="AA43" s="140"/>
      <c r="AB43" s="140"/>
      <c r="AC43" s="34"/>
      <c r="AD43" s="34" t="str">
        <f t="shared" si="5"/>
        <v/>
      </c>
      <c r="AE43" s="34" t="str">
        <f t="shared" si="6"/>
        <v/>
      </c>
    </row>
    <row r="44" spans="1:31" x14ac:dyDescent="0.3">
      <c r="A44" s="129" t="str">
        <f>Reference!A70</f>
        <v>Aviation Gasoline</v>
      </c>
      <c r="B44" s="129"/>
      <c r="C44" s="26">
        <v>0</v>
      </c>
      <c r="D44" s="16"/>
      <c r="E44" s="20"/>
      <c r="F44" s="21">
        <v>0</v>
      </c>
      <c r="G44" s="35">
        <f t="shared" si="15"/>
        <v>0</v>
      </c>
      <c r="H44" s="20"/>
      <c r="I44" s="20"/>
      <c r="J44" s="20"/>
      <c r="K44" s="19"/>
      <c r="L44" s="19"/>
      <c r="M44" s="19"/>
      <c r="N44" s="19"/>
      <c r="O44" s="19"/>
      <c r="P44" s="19"/>
      <c r="Q44" s="34">
        <f t="shared" ref="Q44:Q61" si="16">D44+E44-G44</f>
        <v>0</v>
      </c>
      <c r="R44" s="34">
        <f t="shared" ref="R44:R61" si="17">(D44+E44-G44)*C44</f>
        <v>0</v>
      </c>
      <c r="S44" s="34">
        <f>IF((Q44-R44)&gt;0,(Q44-R44)*Reference!D70,0)</f>
        <v>0</v>
      </c>
      <c r="T44" s="34">
        <f>IF((R44)&gt;0,(R44)*Reference!D70,0)</f>
        <v>0</v>
      </c>
      <c r="U44" s="143">
        <f>IF(Q44&gt;0,Q44*Reference!$A$212*Reference!B147*Reference!$B$182*Reference!$A$210,0)</f>
        <v>0</v>
      </c>
      <c r="V44" s="143">
        <f>IF(Q44&gt;0,Q44*Reference!$A$212*Reference!B147*Reference!$C$182*Reference!$A$210,0)</f>
        <v>0</v>
      </c>
      <c r="W44" s="34">
        <f>IFERROR(S44+T44+(U44*Reference!$B$220)+(V44*Reference!$B$221),"")</f>
        <v>0</v>
      </c>
      <c r="X44" s="34">
        <f>(D44+E44-G44-SUM(K44:O44))*(1-C44)</f>
        <v>0</v>
      </c>
      <c r="Y44" s="34">
        <f t="shared" si="4"/>
        <v>0</v>
      </c>
      <c r="Z44" s="34">
        <f>IF(X44&gt;0,(X44)*Reference!D70,0)</f>
        <v>0</v>
      </c>
      <c r="AA44" s="140">
        <f>IF((X44+Y44)&gt;0, (X44+Y44)*Reference!$A$212*Reference!B147*Reference!$B$182*Reference!$A$210,0)</f>
        <v>0</v>
      </c>
      <c r="AB44" s="140">
        <f>IF((X44+Y44)&gt;0,(X44+Y44)*Reference!$A$212*Reference!B147*Reference!$C$182*Reference!$A$210,0)</f>
        <v>0</v>
      </c>
      <c r="AC44" s="34">
        <f>IFERROR(Z44+(AA44*Reference!$B$220)+(AB44*Reference!$B$221),"")</f>
        <v>0</v>
      </c>
      <c r="AD44" s="34" t="str">
        <f t="shared" si="5"/>
        <v/>
      </c>
      <c r="AE44" s="34" t="str">
        <f t="shared" si="6"/>
        <v/>
      </c>
    </row>
    <row r="45" spans="1:31" x14ac:dyDescent="0.3">
      <c r="A45" s="129" t="str">
        <f>Reference!A71</f>
        <v>Special Naphthas</v>
      </c>
      <c r="B45" s="129"/>
      <c r="C45" s="26">
        <v>0</v>
      </c>
      <c r="D45" s="16"/>
      <c r="E45" s="20"/>
      <c r="F45" s="21">
        <v>0</v>
      </c>
      <c r="G45" s="35">
        <f t="shared" si="15"/>
        <v>0</v>
      </c>
      <c r="H45" s="20"/>
      <c r="I45" s="20"/>
      <c r="J45" s="20"/>
      <c r="K45" s="19"/>
      <c r="L45" s="19"/>
      <c r="M45" s="19"/>
      <c r="N45" s="19"/>
      <c r="O45" s="19"/>
      <c r="P45" s="19"/>
      <c r="Q45" s="34">
        <f t="shared" si="16"/>
        <v>0</v>
      </c>
      <c r="R45" s="34">
        <f t="shared" si="17"/>
        <v>0</v>
      </c>
      <c r="S45" s="34">
        <f>IF((Q45-R45)&gt;0,(Q45-R45)*Reference!D71,0)</f>
        <v>0</v>
      </c>
      <c r="T45" s="34">
        <f>IF((R45)&gt;0,(R45)*Reference!D71,0)</f>
        <v>0</v>
      </c>
      <c r="U45" s="143">
        <f>IF(Q45&gt;0,Q45*Reference!$A$212*Reference!B142*Reference!$B$182*Reference!$A$210,0)</f>
        <v>0</v>
      </c>
      <c r="V45" s="143">
        <f>IF(Q45&gt;0,Q45*Reference!$A$212*Reference!B142*Reference!$C$182*Reference!$A$210,0)</f>
        <v>0</v>
      </c>
      <c r="W45" s="34">
        <f>IFERROR(S45+T45+(U45*Reference!$B$220)+(V45*Reference!$B$221),"")</f>
        <v>0</v>
      </c>
      <c r="X45" s="34">
        <f t="shared" ref="X45:X61" si="18">(D45+E45-G45-SUM(K45:O45))*(1-C45)</f>
        <v>0</v>
      </c>
      <c r="Y45" s="34">
        <f t="shared" si="4"/>
        <v>0</v>
      </c>
      <c r="Z45" s="34">
        <f>IF(X45&gt;0,(X45)*Reference!D71,0)</f>
        <v>0</v>
      </c>
      <c r="AA45" s="140">
        <f>IF((X45+Y45)&gt;0, (X45+Y45)*Reference!$A$212*Reference!B142*Reference!$B$182*Reference!$A$210,0)</f>
        <v>0</v>
      </c>
      <c r="AB45" s="140">
        <f>IF((X45+Y45)&gt;0,(X45+Y45)*Reference!$A$212*Reference!B142*Reference!$C$182*Reference!$A$210,0)</f>
        <v>0</v>
      </c>
      <c r="AC45" s="34">
        <f>IFERROR(Z45+(AA45*Reference!$B$220)+(AB45*Reference!$B$221),"")</f>
        <v>0</v>
      </c>
      <c r="AD45" s="34" t="str">
        <f t="shared" si="5"/>
        <v/>
      </c>
      <c r="AE45" s="34" t="str">
        <f t="shared" si="6"/>
        <v/>
      </c>
    </row>
    <row r="46" spans="1:31" x14ac:dyDescent="0.3">
      <c r="A46" s="129" t="str">
        <f>Reference!A72</f>
        <v>Lubricants</v>
      </c>
      <c r="B46" s="129"/>
      <c r="C46" s="26">
        <v>0</v>
      </c>
      <c r="D46" s="16"/>
      <c r="E46" s="20"/>
      <c r="F46" s="21">
        <v>0</v>
      </c>
      <c r="G46" s="35">
        <f t="shared" si="15"/>
        <v>0</v>
      </c>
      <c r="H46" s="20"/>
      <c r="I46" s="20"/>
      <c r="J46" s="20"/>
      <c r="K46" s="19"/>
      <c r="L46" s="19"/>
      <c r="M46" s="19"/>
      <c r="N46" s="19"/>
      <c r="O46" s="108"/>
      <c r="P46" s="19"/>
      <c r="Q46" s="34">
        <f t="shared" si="16"/>
        <v>0</v>
      </c>
      <c r="R46" s="34">
        <f t="shared" si="17"/>
        <v>0</v>
      </c>
      <c r="S46" s="34">
        <f>IF((Q46-R46)&gt;0,(Q46-R46)*Reference!D72,0)</f>
        <v>0</v>
      </c>
      <c r="T46" s="34">
        <f>IF((R46)&gt;0,(R46)*Reference!D72,0)</f>
        <v>0</v>
      </c>
      <c r="U46" s="143">
        <f>IF(Q46&gt;0,Q46*Reference!$A$212*Reference!B145*Reference!$B$182*Reference!$A$210,0)</f>
        <v>0</v>
      </c>
      <c r="V46" s="143">
        <f>IF(Q46&gt;0,Q46*Reference!$A$212*Reference!B145*Reference!$C$182*Reference!$A$210,0)</f>
        <v>0</v>
      </c>
      <c r="W46" s="34">
        <f>IFERROR(S46+T46+(U46*Reference!$B$220)+(V46*Reference!$B$221),"")</f>
        <v>0</v>
      </c>
      <c r="X46" s="34">
        <f t="shared" si="18"/>
        <v>0</v>
      </c>
      <c r="Y46" s="34">
        <f t="shared" si="4"/>
        <v>0</v>
      </c>
      <c r="Z46" s="34">
        <f>IF(X46&gt;0,(X46)*Reference!D72,0)</f>
        <v>0</v>
      </c>
      <c r="AA46" s="140">
        <f>IF((X46+Y46)&gt;0, (X46+Y46)*Reference!$A$212*Reference!B145*Reference!$B$182*Reference!$A$210,0)</f>
        <v>0</v>
      </c>
      <c r="AB46" s="140">
        <f>IF((X46+Y46)&gt;0,(X46+Y46)*Reference!$A$212*Reference!B145*Reference!$C$182*Reference!$A$210,0)</f>
        <v>0</v>
      </c>
      <c r="AC46" s="34">
        <f>IFERROR(Z46+(AA46*Reference!$B$220)+(AB46*Reference!$B$221),"")</f>
        <v>0</v>
      </c>
      <c r="AD46" s="34" t="str">
        <f t="shared" si="5"/>
        <v/>
      </c>
      <c r="AE46" s="34" t="str">
        <f t="shared" si="6"/>
        <v/>
      </c>
    </row>
    <row r="47" spans="1:31" x14ac:dyDescent="0.3">
      <c r="A47" s="129" t="str">
        <f>Reference!A73</f>
        <v>Waxes</v>
      </c>
      <c r="B47" s="129"/>
      <c r="C47" s="26">
        <v>0</v>
      </c>
      <c r="D47" s="16"/>
      <c r="E47" s="20"/>
      <c r="F47" s="21">
        <v>0</v>
      </c>
      <c r="G47" s="35">
        <f t="shared" si="15"/>
        <v>0</v>
      </c>
      <c r="H47" s="20"/>
      <c r="I47" s="20"/>
      <c r="J47" s="20"/>
      <c r="K47" s="19"/>
      <c r="L47" s="19"/>
      <c r="M47" s="19"/>
      <c r="N47" s="19"/>
      <c r="O47" s="19"/>
      <c r="P47" s="19"/>
      <c r="Q47" s="34">
        <f t="shared" si="16"/>
        <v>0</v>
      </c>
      <c r="R47" s="34">
        <f t="shared" si="17"/>
        <v>0</v>
      </c>
      <c r="S47" s="34">
        <f>IF((Q47-R47)&gt;0,(Q47-R47)*Reference!D73,0)</f>
        <v>0</v>
      </c>
      <c r="T47" s="34">
        <f>IF((R47)&gt;0,(R47)*Reference!D73,0)</f>
        <v>0</v>
      </c>
      <c r="U47" s="143">
        <f>IF(Q47&gt;0, Q47*Reference!$B$201*(1/Reference!$A$209)*Reference!$A$210,0)</f>
        <v>0</v>
      </c>
      <c r="V47" s="143">
        <f>IF(Q47&gt;0,Q47*Reference!$C$201*(1/Reference!$A$209)*Reference!$A$210,0)</f>
        <v>0</v>
      </c>
      <c r="W47" s="34">
        <f>IFERROR(S47+T47+(U47*Reference!$B$220)+(V47*Reference!$B$221),"")</f>
        <v>0</v>
      </c>
      <c r="X47" s="34">
        <f t="shared" si="18"/>
        <v>0</v>
      </c>
      <c r="Y47" s="34">
        <f t="shared" si="4"/>
        <v>0</v>
      </c>
      <c r="Z47" s="34">
        <f>IF(X47&gt;0,(X47)*Reference!D73,0)</f>
        <v>0</v>
      </c>
      <c r="AA47" s="140">
        <f>IF((X47+Y47)&gt;0, (X47+Y47)*Reference!$B$201*(1/Reference!$A$209)*Reference!$A$210,0)</f>
        <v>0</v>
      </c>
      <c r="AB47" s="140">
        <f>IF((X47+Y47)&gt;0,(X47+Y47)*Reference!$C$201*(1/Reference!$A$209)*Reference!$A$210,0)</f>
        <v>0</v>
      </c>
      <c r="AC47" s="34">
        <f>IFERROR(Z47+(AA47*Reference!$B$220)+(AB47*Reference!$B$221),"")</f>
        <v>0</v>
      </c>
      <c r="AD47" s="34" t="str">
        <f t="shared" si="5"/>
        <v/>
      </c>
      <c r="AE47" s="34" t="str">
        <f t="shared" si="6"/>
        <v/>
      </c>
    </row>
    <row r="48" spans="1:31" x14ac:dyDescent="0.3">
      <c r="A48" s="129" t="str">
        <f>Reference!A74</f>
        <v>Petroleum Coke</v>
      </c>
      <c r="B48" s="129"/>
      <c r="C48" s="26">
        <v>0</v>
      </c>
      <c r="D48" s="16"/>
      <c r="E48" s="20"/>
      <c r="F48" s="21">
        <v>0</v>
      </c>
      <c r="G48" s="35">
        <f t="shared" si="15"/>
        <v>0</v>
      </c>
      <c r="H48" s="20"/>
      <c r="I48" s="20"/>
      <c r="J48" s="20"/>
      <c r="K48" s="19"/>
      <c r="L48" s="19"/>
      <c r="M48" s="19"/>
      <c r="N48" s="19"/>
      <c r="O48" s="19"/>
      <c r="P48" s="19"/>
      <c r="Q48" s="34">
        <f t="shared" si="16"/>
        <v>0</v>
      </c>
      <c r="R48" s="34">
        <f t="shared" si="17"/>
        <v>0</v>
      </c>
      <c r="S48" s="34">
        <f>IF((Q48-R48)&gt;0,(Q48-R48)*Reference!D74,0)</f>
        <v>0</v>
      </c>
      <c r="T48" s="34">
        <f>IF((R48)&gt;0,(R48)*Reference!D74,0)</f>
        <v>0</v>
      </c>
      <c r="U48" s="143">
        <f>IF(Q48&gt;0,Q48*Reference!B152*(1/Reference!$A$211)*Reference!$B$74*Reference!$B$182*Reference!$A$210,0)</f>
        <v>0</v>
      </c>
      <c r="V48" s="143">
        <f>IF(Q48&gt;0,Q48*Reference!B152*(1/Reference!$A$211)*Reference!$B$74*Reference!$C$182*Reference!$A$210,0)</f>
        <v>0</v>
      </c>
      <c r="W48" s="34">
        <f>IFERROR(S48+T48+(U48*Reference!$B$220)+(V48*Reference!$B$221),"")</f>
        <v>0</v>
      </c>
      <c r="X48" s="34">
        <f t="shared" si="18"/>
        <v>0</v>
      </c>
      <c r="Y48" s="34">
        <f t="shared" si="4"/>
        <v>0</v>
      </c>
      <c r="Z48" s="34">
        <f>IF(X48&gt;0,(X48)*Reference!D74,0)</f>
        <v>0</v>
      </c>
      <c r="AA48" s="140">
        <f>IF((X48+Y48)&gt;0, (X48+Y48)*Reference!B152*(1/Reference!$A$211)*Reference!$B$74*Reference!$B$182*Reference!$A$210,0)</f>
        <v>0</v>
      </c>
      <c r="AB48" s="140">
        <f>IF((X48+Y48)&gt;0,(X48+Y48)*Reference!B152*(1/Reference!$A$211)*Reference!$B$74*Reference!$C$182*Reference!$A$210,0)</f>
        <v>0</v>
      </c>
      <c r="AC48" s="34">
        <f>IFERROR(Z48+(AA48*Reference!$B$220)+(AB48*Reference!$B$221),"")</f>
        <v>0</v>
      </c>
      <c r="AD48" s="34" t="str">
        <f t="shared" si="5"/>
        <v/>
      </c>
      <c r="AE48" s="34" t="str">
        <f t="shared" si="6"/>
        <v/>
      </c>
    </row>
    <row r="49" spans="1:31" x14ac:dyDescent="0.3">
      <c r="A49" s="129" t="str">
        <f>Reference!A75</f>
        <v>Asphalt and Road Oil</v>
      </c>
      <c r="B49" s="132" t="s">
        <v>253</v>
      </c>
      <c r="C49" s="26">
        <v>0</v>
      </c>
      <c r="D49" s="16"/>
      <c r="E49" s="20"/>
      <c r="F49" s="21">
        <v>0</v>
      </c>
      <c r="G49" s="35">
        <f t="shared" si="15"/>
        <v>0</v>
      </c>
      <c r="H49" s="20"/>
      <c r="I49" s="20"/>
      <c r="J49" s="20"/>
      <c r="K49" s="19"/>
      <c r="L49" s="19"/>
      <c r="M49" s="19"/>
      <c r="N49" s="19"/>
      <c r="O49" s="19"/>
      <c r="P49" s="19"/>
      <c r="Q49" s="34">
        <f t="shared" si="16"/>
        <v>0</v>
      </c>
      <c r="R49" s="34">
        <f t="shared" si="17"/>
        <v>0</v>
      </c>
      <c r="S49" s="34">
        <f>IF((Q49-R49)&gt;0,(Q49-R49)*Reference!D75,0)</f>
        <v>0</v>
      </c>
      <c r="T49" s="34">
        <f>IF((R49)&gt;0,(R49)*Reference!D75,0)</f>
        <v>0</v>
      </c>
      <c r="U49" s="143">
        <f>IF(Q49&gt;0,Q49*Reference!$A$212*Reference!B149*Reference!$B$182*Reference!$A$210,0)</f>
        <v>0</v>
      </c>
      <c r="V49" s="143">
        <f>IF(Q49&gt;0,Q49*Reference!$A$212*Reference!B149*Reference!$C$182*Reference!$A$210,0)</f>
        <v>0</v>
      </c>
      <c r="W49" s="34">
        <f>IFERROR(S49+T49+(U49*Reference!$B$220)+(V49*Reference!$B$221),"")</f>
        <v>0</v>
      </c>
      <c r="X49" s="34">
        <f t="shared" si="18"/>
        <v>0</v>
      </c>
      <c r="Y49" s="34">
        <v>0</v>
      </c>
      <c r="Z49" s="34">
        <f>IF(X49&gt;0,(X49)*Reference!D75,0)</f>
        <v>0</v>
      </c>
      <c r="AA49" s="140">
        <f>IF((X49+Y49)&gt;0, (X49+Y49)*Reference!$A$212*Reference!B149*Reference!$B$182*Reference!$A$210,0)</f>
        <v>0</v>
      </c>
      <c r="AB49" s="140">
        <f>IF((X49+Y49)&gt;0,(X49+Y49)*Reference!$A$212*Reference!B149*Reference!$C$182*Reference!$A$210,0)</f>
        <v>0</v>
      </c>
      <c r="AC49" s="34">
        <f>IFERROR(Z49+(AA49*Reference!$B$220)+(AB49*Reference!$B$221),"")</f>
        <v>0</v>
      </c>
      <c r="AD49" s="34" t="str">
        <f t="shared" si="5"/>
        <v/>
      </c>
      <c r="AE49" s="34" t="str">
        <f t="shared" si="6"/>
        <v/>
      </c>
    </row>
    <row r="50" spans="1:31" x14ac:dyDescent="0.3">
      <c r="A50" s="129" t="str">
        <f>Reference!A76</f>
        <v>Still Gas</v>
      </c>
      <c r="B50" s="129"/>
      <c r="C50" s="26">
        <v>0</v>
      </c>
      <c r="D50" s="16"/>
      <c r="E50" s="20"/>
      <c r="F50" s="21">
        <v>0</v>
      </c>
      <c r="G50" s="35">
        <f t="shared" si="15"/>
        <v>0</v>
      </c>
      <c r="H50" s="20"/>
      <c r="I50" s="20"/>
      <c r="J50" s="20"/>
      <c r="K50" s="19"/>
      <c r="L50" s="19"/>
      <c r="M50" s="19"/>
      <c r="N50" s="19"/>
      <c r="O50" s="19"/>
      <c r="P50" s="19"/>
      <c r="Q50" s="34">
        <f t="shared" si="16"/>
        <v>0</v>
      </c>
      <c r="R50" s="34">
        <f t="shared" si="17"/>
        <v>0</v>
      </c>
      <c r="S50" s="34">
        <f>IF((Q50-R50)&gt;0,(Q50-R50)*Reference!D76,0)</f>
        <v>0</v>
      </c>
      <c r="T50" s="34">
        <f>IF((R50)&gt;0,(R50)*Reference!D76,0)</f>
        <v>0</v>
      </c>
      <c r="U50" s="143">
        <f>IF(Q50&gt;0, Q50*Reference!$B$202*(1/Reference!$A$209)*Reference!$A$210,0)</f>
        <v>0</v>
      </c>
      <c r="V50" s="143">
        <f>IF(Q50&gt;0,Q50*Reference!$C$202*(1/Reference!$A$209)*Reference!$A$210,0)</f>
        <v>0</v>
      </c>
      <c r="W50" s="34">
        <f>IFERROR(S50+T50+(U50*Reference!$B$220)+(V50*Reference!$B$221),"")</f>
        <v>0</v>
      </c>
      <c r="X50" s="34">
        <f t="shared" si="18"/>
        <v>0</v>
      </c>
      <c r="Y50" s="34">
        <f t="shared" si="4"/>
        <v>0</v>
      </c>
      <c r="Z50" s="34">
        <f>IF(X50&gt;0,(X50)*Reference!D76,0)</f>
        <v>0</v>
      </c>
      <c r="AA50" s="140">
        <f>IF((X50+Y50)&gt;0, (X50+Y50)*Reference!$B$202*(1/Reference!$A$209)*Reference!$A$210,0)</f>
        <v>0</v>
      </c>
      <c r="AB50" s="140">
        <f>IF((X50+Y50)&gt;0,(X50+Y50)*Reference!$C$202*(1/Reference!$A$209)*Reference!$A$210,0)</f>
        <v>0</v>
      </c>
      <c r="AC50" s="34">
        <f>IFERROR(Z50+(AA50*Reference!$B$220)+(AB50*Reference!$B$221),"")</f>
        <v>0</v>
      </c>
      <c r="AD50" s="34" t="str">
        <f t="shared" si="5"/>
        <v/>
      </c>
      <c r="AE50" s="34" t="str">
        <f t="shared" si="6"/>
        <v/>
      </c>
    </row>
    <row r="51" spans="1:31" x14ac:dyDescent="0.3">
      <c r="A51" s="129" t="str">
        <f>LEFT(Reference!A77,LEN(Reference!A77)-1)</f>
        <v>Ethane</v>
      </c>
      <c r="B51" s="128" t="s">
        <v>223</v>
      </c>
      <c r="C51" s="26">
        <v>0</v>
      </c>
      <c r="D51" s="16"/>
      <c r="E51" s="20"/>
      <c r="F51" s="21">
        <v>0</v>
      </c>
      <c r="G51" s="35">
        <f t="shared" si="15"/>
        <v>0</v>
      </c>
      <c r="H51" s="20"/>
      <c r="I51" s="20"/>
      <c r="J51" s="20"/>
      <c r="K51" s="19"/>
      <c r="L51" s="19"/>
      <c r="M51" s="19"/>
      <c r="N51" s="19"/>
      <c r="O51" s="19"/>
      <c r="P51" s="19"/>
      <c r="Q51" s="34">
        <f t="shared" si="16"/>
        <v>0</v>
      </c>
      <c r="R51" s="34">
        <f t="shared" si="17"/>
        <v>0</v>
      </c>
      <c r="S51" s="34">
        <f>IF((Q51-R51)&gt;0,(Q51-R51)*Reference!D77,0)</f>
        <v>0</v>
      </c>
      <c r="T51" s="34">
        <f>IF((R51)&gt;0,(R51)*Reference!D77,0)</f>
        <v>0</v>
      </c>
      <c r="U51" s="143">
        <f>IF(Q51&gt;0,Q51*Reference!$A$212*Reference!B130*Reference!$B$182*Reference!$A$210,0)</f>
        <v>0</v>
      </c>
      <c r="V51" s="143">
        <f>IF(Q51&gt;0,Q51*Reference!$A$212*Reference!B130*Reference!$C$182*Reference!$A$210,0)</f>
        <v>0</v>
      </c>
      <c r="W51" s="34">
        <f>IFERROR(S51+T51+(U51*Reference!$B$220)+(V51*Reference!$B$221),"")</f>
        <v>0</v>
      </c>
      <c r="X51" s="34">
        <f t="shared" si="18"/>
        <v>0</v>
      </c>
      <c r="Y51" s="34">
        <f t="shared" si="4"/>
        <v>0</v>
      </c>
      <c r="Z51" s="34">
        <f>IF(X51&gt;0,(X51)*Reference!D77,0)</f>
        <v>0</v>
      </c>
      <c r="AA51" s="140">
        <f>IF((X51+Y51)&gt;0, (X51+Y51)*Reference!$A$212*Reference!B130*Reference!$B$182*Reference!$A$210,0)</f>
        <v>0</v>
      </c>
      <c r="AB51" s="140">
        <f>IF((X51+Y51)&gt;0,(X51+Y51)*Reference!$A$212*Reference!B130*Reference!$C$182*Reference!$A$210,0)</f>
        <v>0</v>
      </c>
      <c r="AC51" s="34">
        <f>IFERROR(Z51+(AA51*Reference!$B$220)+(AB51*Reference!$B$221),"")</f>
        <v>0</v>
      </c>
      <c r="AD51" s="34" t="str">
        <f t="shared" si="5"/>
        <v/>
      </c>
      <c r="AE51" s="34" t="str">
        <f t="shared" si="6"/>
        <v/>
      </c>
    </row>
    <row r="52" spans="1:31" x14ac:dyDescent="0.3">
      <c r="A52" s="129" t="str">
        <f>LEFT(Reference!A78,LEN(Reference!A78)-1)</f>
        <v>Ethylene</v>
      </c>
      <c r="B52" s="128" t="s">
        <v>224</v>
      </c>
      <c r="C52" s="26">
        <v>0</v>
      </c>
      <c r="D52" s="16"/>
      <c r="E52" s="20"/>
      <c r="F52" s="21">
        <v>0</v>
      </c>
      <c r="G52" s="35">
        <f t="shared" si="15"/>
        <v>0</v>
      </c>
      <c r="H52" s="20"/>
      <c r="I52" s="20"/>
      <c r="J52" s="20"/>
      <c r="K52" s="19"/>
      <c r="L52" s="19"/>
      <c r="M52" s="19"/>
      <c r="N52" s="19"/>
      <c r="O52" s="19"/>
      <c r="P52" s="19"/>
      <c r="Q52" s="34">
        <f t="shared" si="16"/>
        <v>0</v>
      </c>
      <c r="R52" s="34">
        <f t="shared" si="17"/>
        <v>0</v>
      </c>
      <c r="S52" s="34">
        <f>IF((Q52-R52)&gt;0,(Q52-R52)*Reference!D78,0)</f>
        <v>0</v>
      </c>
      <c r="T52" s="34">
        <f>IF((R52)&gt;0,(R52)*Reference!D78,0)</f>
        <v>0</v>
      </c>
      <c r="U52" s="143">
        <f>IF(Q52&gt;0,Q52*Reference!$A$212*Reference!B132*Reference!$B$182*Reference!$A$210,0)</f>
        <v>0</v>
      </c>
      <c r="V52" s="143">
        <f>IF(Q52&gt;0,Q52*Reference!$A$212*Reference!B132*Reference!$C$182*Reference!$A$210,0)</f>
        <v>0</v>
      </c>
      <c r="W52" s="34">
        <f>IFERROR(S52+T52+(U52*Reference!$B$220)+(V52*Reference!$B$221),"")</f>
        <v>0</v>
      </c>
      <c r="X52" s="34">
        <f t="shared" si="18"/>
        <v>0</v>
      </c>
      <c r="Y52" s="34">
        <f t="shared" si="4"/>
        <v>0</v>
      </c>
      <c r="Z52" s="34">
        <f>IF(X52&gt;0,(X52)*Reference!D78,0)</f>
        <v>0</v>
      </c>
      <c r="AA52" s="140">
        <f>IF((X52+Y52)&gt;0, (X52+Y52)*Reference!$A$212*Reference!B132*Reference!$B$182*Reference!$A$210,0)</f>
        <v>0</v>
      </c>
      <c r="AB52" s="140">
        <f>IF((X52+Y52)&gt;0,(X52+Y52)*Reference!$A$212*Reference!B132*Reference!$C$182*Reference!$A$210,0)</f>
        <v>0</v>
      </c>
      <c r="AC52" s="34">
        <f>IFERROR(Z52+(AA52*Reference!$B$220)+(AB52*Reference!$B$221),"")</f>
        <v>0</v>
      </c>
      <c r="AD52" s="34" t="str">
        <f t="shared" si="5"/>
        <v/>
      </c>
      <c r="AE52" s="34" t="str">
        <f t="shared" si="6"/>
        <v/>
      </c>
    </row>
    <row r="53" spans="1:31" x14ac:dyDescent="0.3">
      <c r="A53" s="129" t="str">
        <f>LEFT(Reference!A79,LEN(Reference!A79)-1)</f>
        <v>Propane</v>
      </c>
      <c r="B53" s="128" t="s">
        <v>223</v>
      </c>
      <c r="C53" s="26">
        <v>0</v>
      </c>
      <c r="D53" s="16"/>
      <c r="E53" s="20"/>
      <c r="F53" s="21">
        <v>0</v>
      </c>
      <c r="G53" s="35">
        <f t="shared" si="15"/>
        <v>0</v>
      </c>
      <c r="H53" s="20"/>
      <c r="I53" s="20"/>
      <c r="J53" s="20"/>
      <c r="K53" s="19"/>
      <c r="L53" s="19"/>
      <c r="M53" s="19"/>
      <c r="N53" s="19"/>
      <c r="O53" s="19"/>
      <c r="P53" s="19"/>
      <c r="Q53" s="34">
        <f t="shared" si="16"/>
        <v>0</v>
      </c>
      <c r="R53" s="34">
        <f t="shared" si="17"/>
        <v>0</v>
      </c>
      <c r="S53" s="34">
        <f>IF((Q53-R53)&gt;0,(Q53-R53)*Reference!D79,0)</f>
        <v>0</v>
      </c>
      <c r="T53" s="34">
        <f>IF((R53)&gt;0,(R53)*Reference!D79,0)</f>
        <v>0</v>
      </c>
      <c r="U53" s="143">
        <f>IF(Q53&gt;0,Q53*Reference!$A$212*Reference!B128*Reference!$B$182*Reference!$A$210,0)</f>
        <v>0</v>
      </c>
      <c r="V53" s="143">
        <f>IF(Q53&gt;0,Q53*Reference!$A$212*Reference!B128*Reference!$C$182*Reference!$A$210,0)</f>
        <v>0</v>
      </c>
      <c r="W53" s="34">
        <f>IFERROR(S53+T53+(U53*Reference!$B$220)+(V53*Reference!$B$221),"")</f>
        <v>0</v>
      </c>
      <c r="X53" s="34">
        <f t="shared" si="18"/>
        <v>0</v>
      </c>
      <c r="Y53" s="34">
        <f t="shared" si="4"/>
        <v>0</v>
      </c>
      <c r="Z53" s="34">
        <f>IF(X53&gt;0,(X53)*Reference!D79,0)</f>
        <v>0</v>
      </c>
      <c r="AA53" s="140">
        <f>IF((X53+Y53)&gt;0, (X53+Y53)*Reference!$A$212*Reference!B128*Reference!$B$182*Reference!$A$210,0)</f>
        <v>0</v>
      </c>
      <c r="AB53" s="140">
        <f>IF((X53+Y53)&gt;0,(X53+Y53)*Reference!$A$212*Reference!B128*Reference!$C$182*Reference!$A$210,0)</f>
        <v>0</v>
      </c>
      <c r="AC53" s="34">
        <f>IFERROR(Z53+(AA53*Reference!$B$220)+(AB53*Reference!$B$221),"")</f>
        <v>0</v>
      </c>
      <c r="AD53" s="34" t="str">
        <f t="shared" si="5"/>
        <v/>
      </c>
      <c r="AE53" s="34" t="str">
        <f t="shared" si="6"/>
        <v/>
      </c>
    </row>
    <row r="54" spans="1:31" x14ac:dyDescent="0.3">
      <c r="A54" s="129" t="str">
        <f>LEFT(Reference!A80,LEN(Reference!A80)-1)</f>
        <v>Propylene</v>
      </c>
      <c r="B54" s="128" t="s">
        <v>223</v>
      </c>
      <c r="C54" s="26">
        <v>0</v>
      </c>
      <c r="D54" s="16"/>
      <c r="E54" s="20"/>
      <c r="F54" s="21">
        <v>0</v>
      </c>
      <c r="G54" s="35">
        <f t="shared" si="15"/>
        <v>0</v>
      </c>
      <c r="H54" s="20"/>
      <c r="I54" s="20"/>
      <c r="J54" s="20"/>
      <c r="K54" s="19"/>
      <c r="L54" s="19"/>
      <c r="M54" s="19"/>
      <c r="N54" s="19"/>
      <c r="O54" s="19"/>
      <c r="P54" s="19"/>
      <c r="Q54" s="34">
        <f t="shared" si="16"/>
        <v>0</v>
      </c>
      <c r="R54" s="34">
        <f t="shared" si="17"/>
        <v>0</v>
      </c>
      <c r="S54" s="34">
        <f>IF((Q54-R54)&gt;0,(Q54-R54)*Reference!D80,0)</f>
        <v>0</v>
      </c>
      <c r="T54" s="34">
        <f>IF((R54)&gt;0,(R54)*Reference!D80,0)</f>
        <v>0</v>
      </c>
      <c r="U54" s="143">
        <f>IF(Q54&gt;0,Q54*Reference!$A$212*Reference!B129*Reference!$B$182*Reference!$A$210,0)</f>
        <v>0</v>
      </c>
      <c r="V54" s="143">
        <f>IF(Q54&gt;0,Q54*Reference!$A$212*Reference!B129*Reference!$C$182*Reference!$A$210,0)</f>
        <v>0</v>
      </c>
      <c r="W54" s="34">
        <f>IFERROR(S54+T54+(U54*Reference!$B$220)+(V54*Reference!$B$221),"")</f>
        <v>0</v>
      </c>
      <c r="X54" s="34">
        <f t="shared" si="18"/>
        <v>0</v>
      </c>
      <c r="Y54" s="34">
        <f t="shared" si="4"/>
        <v>0</v>
      </c>
      <c r="Z54" s="34">
        <f>IF(X54&gt;0,(X54)*Reference!D80,0)</f>
        <v>0</v>
      </c>
      <c r="AA54" s="140">
        <f>IF((X54+Y54)&gt;0, (X54+Y54)*Reference!$A$212*Reference!B129*Reference!$B$182*Reference!$A$210,0)</f>
        <v>0</v>
      </c>
      <c r="AB54" s="140">
        <f>IF((X54+Y54)&gt;0,(X54+Y54)*Reference!$A$212*Reference!B129*Reference!$C$182*Reference!$A$210,0)</f>
        <v>0</v>
      </c>
      <c r="AC54" s="34">
        <f>IFERROR(Z54+(AA54*Reference!$B$220)+(AB54*Reference!$B$221),"")</f>
        <v>0</v>
      </c>
      <c r="AD54" s="34" t="str">
        <f t="shared" si="5"/>
        <v/>
      </c>
      <c r="AE54" s="34" t="str">
        <f t="shared" si="6"/>
        <v/>
      </c>
    </row>
    <row r="55" spans="1:31" x14ac:dyDescent="0.3">
      <c r="A55" s="129" t="str">
        <f>LEFT(Reference!A81,LEN(Reference!A81)-1)</f>
        <v>Butane</v>
      </c>
      <c r="B55" s="128" t="s">
        <v>223</v>
      </c>
      <c r="C55" s="26">
        <v>0</v>
      </c>
      <c r="D55" s="16"/>
      <c r="E55" s="20"/>
      <c r="F55" s="21">
        <v>0</v>
      </c>
      <c r="G55" s="35">
        <f t="shared" si="15"/>
        <v>0</v>
      </c>
      <c r="H55" s="20"/>
      <c r="I55" s="20"/>
      <c r="J55" s="20"/>
      <c r="K55" s="19"/>
      <c r="L55" s="19"/>
      <c r="M55" s="19"/>
      <c r="N55" s="19"/>
      <c r="O55" s="19"/>
      <c r="P55" s="19"/>
      <c r="Q55" s="34">
        <f t="shared" si="16"/>
        <v>0</v>
      </c>
      <c r="R55" s="34">
        <f t="shared" si="17"/>
        <v>0</v>
      </c>
      <c r="S55" s="34">
        <f>IF((Q55-R55)&gt;0,(Q55-R55)*Reference!D81,0)</f>
        <v>0</v>
      </c>
      <c r="T55" s="34">
        <f>IF((R55)&gt;0,(R55)*Reference!D81,0)</f>
        <v>0</v>
      </c>
      <c r="U55" s="143">
        <f>IF(Q55&gt;0,Q55*Reference!$A$212*Reference!B135*Reference!$B$182*Reference!$A$210,0)</f>
        <v>0</v>
      </c>
      <c r="V55" s="143">
        <f>IF(Q55&gt;0,Q55*Reference!$A$212*Reference!B135*Reference!$C$182*Reference!$A$210,0)</f>
        <v>0</v>
      </c>
      <c r="W55" s="34">
        <f>IFERROR(S55+T55+(U55*Reference!$B$220)+(V55*Reference!$B$221),"")</f>
        <v>0</v>
      </c>
      <c r="X55" s="34">
        <f t="shared" si="18"/>
        <v>0</v>
      </c>
      <c r="Y55" s="34">
        <f t="shared" si="4"/>
        <v>0</v>
      </c>
      <c r="Z55" s="34">
        <f>IF(X55&gt;0,(X55)*Reference!D81,0)</f>
        <v>0</v>
      </c>
      <c r="AA55" s="140">
        <f>IF((X55+Y55)&gt;0, (X55+Y55)*Reference!$A$212*Reference!B135*Reference!$B$182*Reference!$A$210,0)</f>
        <v>0</v>
      </c>
      <c r="AB55" s="140">
        <f>IF((X55+Y55)&gt;0,(X55+Y55)*Reference!$A$212*Reference!B135*Reference!$C$182*Reference!$A$210,0)</f>
        <v>0</v>
      </c>
      <c r="AC55" s="34">
        <f>IFERROR(Z55+(AA55*Reference!$B$220)+(AB55*Reference!$B$221),"")</f>
        <v>0</v>
      </c>
      <c r="AD55" s="34" t="str">
        <f t="shared" si="5"/>
        <v/>
      </c>
      <c r="AE55" s="34" t="str">
        <f t="shared" si="6"/>
        <v/>
      </c>
    </row>
    <row r="56" spans="1:31" x14ac:dyDescent="0.3">
      <c r="A56" s="129" t="str">
        <f>LEFT(Reference!A82,LEN(Reference!A82)-1)</f>
        <v>Butylene</v>
      </c>
      <c r="B56" s="128" t="s">
        <v>223</v>
      </c>
      <c r="C56" s="26">
        <v>0</v>
      </c>
      <c r="D56" s="16"/>
      <c r="E56" s="20"/>
      <c r="F56" s="21">
        <v>0</v>
      </c>
      <c r="G56" s="35">
        <f t="shared" si="15"/>
        <v>0</v>
      </c>
      <c r="H56" s="20"/>
      <c r="I56" s="20"/>
      <c r="J56" s="20"/>
      <c r="K56" s="19"/>
      <c r="L56" s="19"/>
      <c r="M56" s="19"/>
      <c r="N56" s="19"/>
      <c r="O56" s="19"/>
      <c r="P56" s="19"/>
      <c r="Q56" s="34">
        <f t="shared" si="16"/>
        <v>0</v>
      </c>
      <c r="R56" s="34">
        <f t="shared" si="17"/>
        <v>0</v>
      </c>
      <c r="S56" s="34">
        <f>IF((Q56-R56)&gt;0,(Q56-R56)*Reference!D82,0)</f>
        <v>0</v>
      </c>
      <c r="T56" s="34">
        <f>IF((R56)&gt;0,(R56)*Reference!D82,0)</f>
        <v>0</v>
      </c>
      <c r="U56" s="143">
        <f>IF(Q56&gt;0,Q56*Reference!$A$212*Reference!B136*Reference!$B$182*Reference!$A$210,0)</f>
        <v>0</v>
      </c>
      <c r="V56" s="143">
        <f>IF(Q56&gt;0,Q56*Reference!$A$212*Reference!B136*Reference!$C$182*Reference!$A$210,0)</f>
        <v>0</v>
      </c>
      <c r="W56" s="34">
        <f>IFERROR(S56+T56+(U56*Reference!$B$220)+(V56*Reference!$B$221),"")</f>
        <v>0</v>
      </c>
      <c r="X56" s="34">
        <f t="shared" si="18"/>
        <v>0</v>
      </c>
      <c r="Y56" s="34">
        <f t="shared" si="4"/>
        <v>0</v>
      </c>
      <c r="Z56" s="34">
        <f>IF(X56&gt;0,(X56)*Reference!D82,0)</f>
        <v>0</v>
      </c>
      <c r="AA56" s="140">
        <f>IF((X56+Y56)&gt;0, (X56+Y56)*Reference!$A$212*Reference!B136*Reference!$B$182*Reference!$A$210,0)</f>
        <v>0</v>
      </c>
      <c r="AB56" s="140">
        <f>IF((X56+Y56)&gt;0,(X56+Y56)*Reference!$A$212*Reference!B136*Reference!$C$182*Reference!$A$210,0)</f>
        <v>0</v>
      </c>
      <c r="AC56" s="34">
        <f>IFERROR(Z56+(AA56*Reference!$B$220)+(AB56*Reference!$B$221),"")</f>
        <v>0</v>
      </c>
      <c r="AD56" s="34" t="str">
        <f t="shared" si="5"/>
        <v/>
      </c>
      <c r="AE56" s="34" t="str">
        <f t="shared" si="6"/>
        <v/>
      </c>
    </row>
    <row r="57" spans="1:31" x14ac:dyDescent="0.3">
      <c r="A57" s="129" t="str">
        <f>LEFT(Reference!A83,LEN(Reference!A83)-1)</f>
        <v>Isobutane</v>
      </c>
      <c r="B57" s="128" t="s">
        <v>223</v>
      </c>
      <c r="C57" s="26">
        <v>0</v>
      </c>
      <c r="D57" s="16"/>
      <c r="E57" s="20"/>
      <c r="F57" s="21">
        <v>0</v>
      </c>
      <c r="G57" s="35">
        <f t="shared" si="15"/>
        <v>0</v>
      </c>
      <c r="H57" s="20"/>
      <c r="I57" s="20"/>
      <c r="J57" s="20"/>
      <c r="K57" s="19"/>
      <c r="L57" s="19"/>
      <c r="M57" s="19"/>
      <c r="N57" s="19"/>
      <c r="O57" s="19"/>
      <c r="P57" s="19"/>
      <c r="Q57" s="34">
        <f t="shared" si="16"/>
        <v>0</v>
      </c>
      <c r="R57" s="34">
        <f t="shared" si="17"/>
        <v>0</v>
      </c>
      <c r="S57" s="34">
        <f>IF((Q57-R57)&gt;0,(Q57-R57)*Reference!D83,0)</f>
        <v>0</v>
      </c>
      <c r="T57" s="34">
        <f>IF((R57)&gt;0,(R57)*Reference!D83,0)</f>
        <v>0</v>
      </c>
      <c r="U57" s="143">
        <f>IF(Q57&gt;0,Q57*Reference!$A$212*Reference!B133*Reference!$B$182*Reference!$A$210,0)</f>
        <v>0</v>
      </c>
      <c r="V57" s="143">
        <f>IF(Q57&gt;0,Q57*Reference!$A$212*Reference!B133*Reference!$C$182*Reference!$A$210,0)</f>
        <v>0</v>
      </c>
      <c r="W57" s="34">
        <f>IFERROR(S57+T57+(U57*Reference!$B$220)+(V57*Reference!$B$221),"")</f>
        <v>0</v>
      </c>
      <c r="X57" s="34">
        <f t="shared" si="18"/>
        <v>0</v>
      </c>
      <c r="Y57" s="34">
        <f t="shared" si="4"/>
        <v>0</v>
      </c>
      <c r="Z57" s="34">
        <f>IF(X57&gt;0,(X57)*Reference!D83,0)</f>
        <v>0</v>
      </c>
      <c r="AA57" s="140">
        <f>IF((X57+Y57)&gt;0, (X57+Y57)*Reference!$A$212*Reference!B133*Reference!$B$182*Reference!$A$210,0)</f>
        <v>0</v>
      </c>
      <c r="AB57" s="140">
        <f>IF((X57+Y57)&gt;0,(X57+Y57)*Reference!$A$212*Reference!B133*Reference!$C$182*Reference!$A$210,0)</f>
        <v>0</v>
      </c>
      <c r="AC57" s="34">
        <f>IFERROR(Z57+(AA57*Reference!$B$220)+(AB57*Reference!$B$221),"")</f>
        <v>0</v>
      </c>
      <c r="AD57" s="34" t="str">
        <f t="shared" si="5"/>
        <v/>
      </c>
      <c r="AE57" s="34" t="str">
        <f t="shared" si="6"/>
        <v/>
      </c>
    </row>
    <row r="58" spans="1:31" x14ac:dyDescent="0.3">
      <c r="A58" s="129" t="str">
        <f>CONCATENATE(LEFT(Reference!A84,LEN(Reference!A84)-1))</f>
        <v>Isobutylene</v>
      </c>
      <c r="B58" s="128" t="s">
        <v>223</v>
      </c>
      <c r="C58" s="26">
        <v>0</v>
      </c>
      <c r="D58" s="16"/>
      <c r="E58" s="20"/>
      <c r="F58" s="21">
        <v>0</v>
      </c>
      <c r="G58" s="35">
        <f t="shared" si="15"/>
        <v>0</v>
      </c>
      <c r="H58" s="20"/>
      <c r="I58" s="20"/>
      <c r="J58" s="20"/>
      <c r="K58" s="19"/>
      <c r="L58" s="19"/>
      <c r="M58" s="19"/>
      <c r="N58" s="19"/>
      <c r="O58" s="19"/>
      <c r="P58" s="19"/>
      <c r="Q58" s="34">
        <f t="shared" si="16"/>
        <v>0</v>
      </c>
      <c r="R58" s="34">
        <f t="shared" si="17"/>
        <v>0</v>
      </c>
      <c r="S58" s="34">
        <f>IF((Q58-R58)&gt;0,(Q58-R58)*Reference!D84,0)</f>
        <v>0</v>
      </c>
      <c r="T58" s="34">
        <f>IF((R58)&gt;0,(R58)*Reference!D84,0)</f>
        <v>0</v>
      </c>
      <c r="U58" s="143">
        <f>IF(Q58&gt;0,Q58*Reference!$A$212*Reference!B134*Reference!$B$182*Reference!$A$210,0)</f>
        <v>0</v>
      </c>
      <c r="V58" s="143">
        <f>IF(Q58&gt;0,Q58*Reference!$A$212*Reference!B134*Reference!$C$182*Reference!$A$210,0)</f>
        <v>0</v>
      </c>
      <c r="W58" s="34">
        <f>IFERROR(S58+T58+(U58*Reference!$B$220)+(V58*Reference!$B$221),"")</f>
        <v>0</v>
      </c>
      <c r="X58" s="34">
        <f t="shared" si="18"/>
        <v>0</v>
      </c>
      <c r="Y58" s="34">
        <f t="shared" si="4"/>
        <v>0</v>
      </c>
      <c r="Z58" s="34">
        <f>IF(X58&gt;0,(X58)*Reference!D84,0)</f>
        <v>0</v>
      </c>
      <c r="AA58" s="140">
        <f>IF((X58+Y58)&gt;0, (X58+Y58)*Reference!$A$212*Reference!B134*Reference!$B$182*Reference!$A$210,0)</f>
        <v>0</v>
      </c>
      <c r="AB58" s="140">
        <f>IF((X58+Y58)&gt;0,(X58+Y58)*Reference!$A$212*Reference!B134*Reference!$C$182*Reference!$A$210,0)</f>
        <v>0</v>
      </c>
      <c r="AC58" s="34">
        <f>IFERROR(Z58+(AA58*Reference!$B$220)+(AB58*Reference!$B$221),"")</f>
        <v>0</v>
      </c>
      <c r="AD58" s="34" t="str">
        <f t="shared" si="5"/>
        <v/>
      </c>
      <c r="AE58" s="34" t="str">
        <f t="shared" si="6"/>
        <v/>
      </c>
    </row>
    <row r="59" spans="1:31" x14ac:dyDescent="0.3">
      <c r="A59" s="129" t="str">
        <f>CONCATENATE(Reference!A85)</f>
        <v>Isobutylene</v>
      </c>
      <c r="B59" s="129"/>
      <c r="C59" s="26">
        <v>0</v>
      </c>
      <c r="D59" s="16"/>
      <c r="E59" s="20"/>
      <c r="F59" s="21">
        <v>0</v>
      </c>
      <c r="G59" s="35">
        <f t="shared" si="15"/>
        <v>0</v>
      </c>
      <c r="H59" s="20"/>
      <c r="I59" s="20"/>
      <c r="J59" s="20"/>
      <c r="K59" s="19"/>
      <c r="L59" s="19"/>
      <c r="M59" s="19"/>
      <c r="N59" s="19"/>
      <c r="O59" s="19"/>
      <c r="P59" s="19"/>
      <c r="Q59" s="34">
        <f t="shared" si="16"/>
        <v>0</v>
      </c>
      <c r="R59" s="34">
        <f t="shared" si="17"/>
        <v>0</v>
      </c>
      <c r="S59" s="34">
        <f>IF((Q59-R59)&gt;0,(Q59-R59)*Reference!D85,0)</f>
        <v>0</v>
      </c>
      <c r="T59" s="34">
        <f>IF((R59)&gt;0,(R59)*Reference!D85,0)</f>
        <v>0</v>
      </c>
      <c r="U59" s="143">
        <f>IF(Q59&gt;0,Q59*Reference!$A$212*Reference!B134*Reference!$B$182*Reference!$A$210,0)</f>
        <v>0</v>
      </c>
      <c r="V59" s="143">
        <f>IF(Q59&gt;0,Q59*Reference!$A$212*Reference!B134*Reference!$C$182*Reference!$A$210,0)</f>
        <v>0</v>
      </c>
      <c r="W59" s="34">
        <f>IFERROR(S59+T59+(U59*Reference!$B$220)+(V59*Reference!$B$221),"")</f>
        <v>0</v>
      </c>
      <c r="X59" s="34">
        <f t="shared" si="18"/>
        <v>0</v>
      </c>
      <c r="Y59" s="34">
        <f t="shared" si="4"/>
        <v>0</v>
      </c>
      <c r="Z59" s="34">
        <f>IF(X59&gt;0,(X59)*Reference!D85,0)</f>
        <v>0</v>
      </c>
      <c r="AA59" s="140">
        <f>IF((X59+Y59)&gt;0, (X59+Y59)*Reference!$A$212*Reference!B134*Reference!$B$182*Reference!$A$210,0)</f>
        <v>0</v>
      </c>
      <c r="AB59" s="140">
        <f>IF((X59+Y59)&gt;0,(X59+Y59)*Reference!$A$212*Reference!B134*Reference!$C$182*Reference!$A$210,0)</f>
        <v>0</v>
      </c>
      <c r="AC59" s="34">
        <f>IFERROR(Z59+(AA59*Reference!$B$220)+(AB59*Reference!$B$221),"")</f>
        <v>0</v>
      </c>
      <c r="AD59" s="34" t="str">
        <f t="shared" si="5"/>
        <v/>
      </c>
      <c r="AE59" s="34" t="str">
        <f t="shared" si="6"/>
        <v/>
      </c>
    </row>
    <row r="60" spans="1:31" x14ac:dyDescent="0.3">
      <c r="A60" s="129" t="str">
        <f>Reference!A86</f>
        <v>Pentanes Plus</v>
      </c>
      <c r="B60" s="129"/>
      <c r="C60" s="26">
        <v>0</v>
      </c>
      <c r="D60" s="16"/>
      <c r="E60" s="20"/>
      <c r="F60" s="21">
        <v>0</v>
      </c>
      <c r="G60" s="35">
        <f t="shared" si="15"/>
        <v>0</v>
      </c>
      <c r="H60" s="20"/>
      <c r="I60" s="20"/>
      <c r="J60" s="20"/>
      <c r="K60" s="19"/>
      <c r="L60" s="19"/>
      <c r="M60" s="19"/>
      <c r="N60" s="19"/>
      <c r="O60" s="19"/>
      <c r="P60" s="19"/>
      <c r="Q60" s="34">
        <f t="shared" si="16"/>
        <v>0</v>
      </c>
      <c r="R60" s="34">
        <f t="shared" si="17"/>
        <v>0</v>
      </c>
      <c r="S60" s="34">
        <f>IF((Q60-R60)&gt;0,(Q60-R60)*Reference!D86,0)</f>
        <v>0</v>
      </c>
      <c r="T60" s="34">
        <f>IF((R60)&gt;0,(R60)*Reference!D86,0)</f>
        <v>0</v>
      </c>
      <c r="U60" s="143">
        <f>IF(Q60&gt;0,Q60*Reference!$A$212*Reference!B140*Reference!$B$182*Reference!$A$210,0)</f>
        <v>0</v>
      </c>
      <c r="V60" s="143">
        <f>IF(Q60&gt;0,Q60*Reference!$A$212*Reference!B140*Reference!$C$182*Reference!$A$210,0)</f>
        <v>0</v>
      </c>
      <c r="W60" s="34">
        <f>IFERROR(S60+T60+(U60*Reference!$B$220)+(V60*Reference!$B$221),"")</f>
        <v>0</v>
      </c>
      <c r="X60" s="34">
        <f t="shared" si="18"/>
        <v>0</v>
      </c>
      <c r="Y60" s="34">
        <f t="shared" si="4"/>
        <v>0</v>
      </c>
      <c r="Z60" s="34">
        <f>IF(X60&gt;0,(X60)*Reference!D86,0)</f>
        <v>0</v>
      </c>
      <c r="AA60" s="140">
        <f>IF((X60+Y60)&gt;0, (X60+Y60)*Reference!$A$212*Reference!B140*Reference!$B$182*Reference!$A$210,0)</f>
        <v>0</v>
      </c>
      <c r="AB60" s="140">
        <f>IF((X60+Y60)&gt;0,(X60+Y60)*Reference!$A$212*Reference!B140*Reference!$C$182*Reference!$A$210,0)</f>
        <v>0</v>
      </c>
      <c r="AC60" s="34">
        <f>IFERROR(Z60+(AA60*Reference!$B$220)+(AB60*Reference!$B$221),"")</f>
        <v>0</v>
      </c>
      <c r="AD60" s="34" t="str">
        <f t="shared" si="5"/>
        <v/>
      </c>
      <c r="AE60" s="34" t="str">
        <f t="shared" si="6"/>
        <v/>
      </c>
    </row>
    <row r="61" spans="1:31" x14ac:dyDescent="0.3">
      <c r="A61" s="130" t="str">
        <f>Reference!A87</f>
        <v>Miscellaneous Products</v>
      </c>
      <c r="B61" s="130"/>
      <c r="C61" s="27">
        <v>0</v>
      </c>
      <c r="D61" s="16"/>
      <c r="E61" s="23"/>
      <c r="F61" s="24">
        <v>0</v>
      </c>
      <c r="G61" s="35">
        <f t="shared" si="15"/>
        <v>0</v>
      </c>
      <c r="H61" s="23"/>
      <c r="I61" s="23"/>
      <c r="J61" s="23"/>
      <c r="K61" s="25"/>
      <c r="L61" s="25"/>
      <c r="M61" s="25"/>
      <c r="N61" s="25"/>
      <c r="O61" s="25"/>
      <c r="P61" s="25"/>
      <c r="Q61" s="144">
        <f t="shared" si="16"/>
        <v>0</v>
      </c>
      <c r="R61" s="144">
        <f t="shared" si="17"/>
        <v>0</v>
      </c>
      <c r="S61" s="145">
        <f>IF((Q61-R61)&gt;0,(Q61-R61)*Reference!D87,0)</f>
        <v>0</v>
      </c>
      <c r="T61" s="144">
        <f>IF((R61)&gt;0,(R61)*Reference!D87,0)</f>
        <v>0</v>
      </c>
      <c r="U61" s="146">
        <f>IF(Q61&gt;0, Q61*Reference!$B$203*(1/Reference!$A$209)*Reference!$A$210,0)</f>
        <v>0</v>
      </c>
      <c r="V61" s="146">
        <f>IF(Q61&gt;0,Q61*Reference!$C$203*(1/Reference!$A$209)*Reference!$A$210,0)</f>
        <v>0</v>
      </c>
      <c r="W61" s="144">
        <f>IFERROR(S61+T61+(U61*Reference!$B$220)+(V61*Reference!$B$221),"")</f>
        <v>0</v>
      </c>
      <c r="X61" s="34">
        <f t="shared" si="18"/>
        <v>0</v>
      </c>
      <c r="Y61" s="144">
        <f t="shared" si="4"/>
        <v>0</v>
      </c>
      <c r="Z61" s="145">
        <f>IF(X61&gt;0,(X61)*Reference!D87,0)</f>
        <v>0</v>
      </c>
      <c r="AA61" s="147">
        <f>IF((X61+Y61)&gt;0, (X61+Y61)*Reference!$B$203*(1/Reference!$A$209)*Reference!$A$210,0)</f>
        <v>0</v>
      </c>
      <c r="AB61" s="147">
        <f>IF((X61+Y61)&gt;0,(X61+Y61)*Reference!$C$203*(1/Reference!$A$209)*Reference!$A$210,0)</f>
        <v>0</v>
      </c>
      <c r="AC61" s="144">
        <f>IFERROR(Z61+(AA61*Reference!$B$220)+(AB61*Reference!$B$221),"")</f>
        <v>0</v>
      </c>
      <c r="AD61" s="34" t="str">
        <f t="shared" si="5"/>
        <v/>
      </c>
      <c r="AE61" s="34" t="str">
        <f t="shared" si="6"/>
        <v/>
      </c>
    </row>
    <row r="62" spans="1:31" x14ac:dyDescent="0.3">
      <c r="A62" s="131" t="s">
        <v>209</v>
      </c>
      <c r="B62" s="131"/>
      <c r="C62" s="131"/>
      <c r="D62" s="138"/>
      <c r="E62" s="122"/>
      <c r="F62" s="122"/>
      <c r="G62" s="126"/>
      <c r="H62" s="122"/>
      <c r="I62" s="122"/>
      <c r="J62" s="122"/>
      <c r="K62" s="122"/>
      <c r="L62" s="123"/>
      <c r="M62" s="123"/>
      <c r="N62" s="123"/>
      <c r="O62" s="123"/>
      <c r="P62" s="123"/>
      <c r="Q62" s="34"/>
      <c r="R62" s="34"/>
      <c r="S62" s="34"/>
      <c r="T62" s="34"/>
      <c r="U62" s="125"/>
      <c r="V62" s="125"/>
      <c r="W62" s="123"/>
      <c r="X62" s="126"/>
      <c r="Y62" s="34"/>
      <c r="Z62" s="34"/>
      <c r="AA62" s="140"/>
      <c r="AB62" s="140"/>
      <c r="AC62" s="34"/>
      <c r="AD62" s="34" t="str">
        <f t="shared" si="5"/>
        <v/>
      </c>
      <c r="AE62" s="34" t="str">
        <f t="shared" si="6"/>
        <v/>
      </c>
    </row>
    <row r="63" spans="1:31" x14ac:dyDescent="0.3">
      <c r="A63" s="129" t="str">
        <f>Reference!A97</f>
        <v>Ethanol (100%)</v>
      </c>
      <c r="B63" s="132" t="s">
        <v>252</v>
      </c>
      <c r="C63" s="26">
        <v>1</v>
      </c>
      <c r="D63" s="16"/>
      <c r="E63" s="20"/>
      <c r="F63" s="21">
        <v>1</v>
      </c>
      <c r="G63" s="35">
        <f>SUM(H63:J63)</f>
        <v>0</v>
      </c>
      <c r="H63" s="20"/>
      <c r="I63" s="20"/>
      <c r="J63" s="20"/>
      <c r="K63" s="19"/>
      <c r="L63" s="19"/>
      <c r="M63" s="19"/>
      <c r="N63" s="19"/>
      <c r="O63" s="19"/>
      <c r="P63" s="19"/>
      <c r="Q63" s="34">
        <f>D63+E63-G63</f>
        <v>0</v>
      </c>
      <c r="R63" s="34">
        <f>(D63+E63-G63)*C63</f>
        <v>0</v>
      </c>
      <c r="S63" s="34">
        <f>IF((Q63-R63)&gt;0,(Q63-R63)*Reference!D97,0)</f>
        <v>0</v>
      </c>
      <c r="T63" s="34">
        <f>IF((R63)&gt;0,(R63)*Reference!D97,0)</f>
        <v>0</v>
      </c>
      <c r="U63" s="143">
        <f>IF(Q63&gt;0, Q63*Reference!$B$197*(1/Reference!$A$209)*Reference!$A$210,0)</f>
        <v>0</v>
      </c>
      <c r="V63" s="143">
        <f>IF(Q63&gt;0,Q63*Reference!$C$197*(1/Reference!$A$209)*Reference!$A$210,0)</f>
        <v>0</v>
      </c>
      <c r="W63" s="34">
        <f>IFERROR(S63+T63+(U63*Reference!$B$220)+(V63*Reference!$B$221),"")</f>
        <v>0</v>
      </c>
      <c r="X63" s="34">
        <f>(D63+E63-G63-SUM(K63:O63))*(1-C63)</f>
        <v>0</v>
      </c>
      <c r="Y63" s="34">
        <f t="shared" si="4"/>
        <v>0</v>
      </c>
      <c r="Z63" s="34">
        <f>IF(X63&gt;0,(X63)*Reference!D97,0)</f>
        <v>0</v>
      </c>
      <c r="AA63" s="140">
        <f>IF((X63+Y63)&gt;0, (X63+Y63)*Reference!$B$197*(1/Reference!$A$209)*Reference!$A$210,0)</f>
        <v>0</v>
      </c>
      <c r="AB63" s="140">
        <f>IF((X63+Y63)&gt;0,(X63+Y63)*Reference!$C$197*(1/Reference!$A$209)*Reference!$A$210,0)</f>
        <v>0</v>
      </c>
      <c r="AC63" s="34">
        <f>IFERROR(Z63+(AA63*Reference!$B$220)+(AB63*Reference!$B$221),"")</f>
        <v>0</v>
      </c>
      <c r="AD63" s="34"/>
      <c r="AE63" s="34" t="str">
        <f t="shared" si="6"/>
        <v/>
      </c>
    </row>
    <row r="64" spans="1:31" x14ac:dyDescent="0.3">
      <c r="A64" s="129" t="str">
        <f>Reference!A98</f>
        <v>Biodiesel (100%, methyl ester)</v>
      </c>
      <c r="B64" s="129"/>
      <c r="C64" s="26">
        <v>1</v>
      </c>
      <c r="D64" s="16"/>
      <c r="E64" s="20"/>
      <c r="F64" s="21">
        <v>0</v>
      </c>
      <c r="G64" s="35">
        <f t="shared" ref="G64:G66" si="19">SUM(H64:J64)</f>
        <v>0</v>
      </c>
      <c r="H64" s="20"/>
      <c r="I64" s="20"/>
      <c r="J64" s="20"/>
      <c r="K64" s="19"/>
      <c r="L64" s="19"/>
      <c r="M64" s="19"/>
      <c r="N64" s="19"/>
      <c r="O64" s="19"/>
      <c r="P64" s="19"/>
      <c r="Q64" s="34">
        <f>D64+E64-G64</f>
        <v>0</v>
      </c>
      <c r="R64" s="34">
        <f>(D64+E64-G64)*C64</f>
        <v>0</v>
      </c>
      <c r="S64" s="34">
        <f>IF((Q64-R64)&gt;0,(Q64-R64)*Reference!D98,0)</f>
        <v>0</v>
      </c>
      <c r="T64" s="34">
        <f>IF((R64)&gt;0,(R64)*Reference!D98,0)</f>
        <v>0</v>
      </c>
      <c r="U64" s="143">
        <f>IF(Q64&gt;0, Q64*Reference!$B$198*(1/Reference!$A$209)*Reference!$A$210,0)</f>
        <v>0</v>
      </c>
      <c r="V64" s="143">
        <f>IF(Q64&gt;0,Q64*Reference!$C$198*(1/Reference!$A$209)*Reference!$A$210,0)</f>
        <v>0</v>
      </c>
      <c r="W64" s="34">
        <f>IFERROR(S64+T64+(U64*Reference!$B$220)+(V64*Reference!$B$221),"")</f>
        <v>0</v>
      </c>
      <c r="X64" s="34">
        <f t="shared" ref="X64:X66" si="20">(D64+E64-G64-SUM(K64:O64))*(1-C64)</f>
        <v>0</v>
      </c>
      <c r="Y64" s="34">
        <f t="shared" si="4"/>
        <v>0</v>
      </c>
      <c r="Z64" s="34">
        <f>IF(X64&gt;0,(X64)*Reference!D98,0)</f>
        <v>0</v>
      </c>
      <c r="AA64" s="140">
        <f>IF((X64+Y64)&gt;0, (X64+Y64)*Reference!$B$198*(1/Reference!$A$209)*Reference!$A$210,0)</f>
        <v>0</v>
      </c>
      <c r="AB64" s="140">
        <f>IF((X64+Y64)&gt;0,(X64+Y64)*Reference!$C$198*(1/Reference!$A$209)*Reference!$A$210,0)</f>
        <v>0</v>
      </c>
      <c r="AC64" s="34">
        <f>IFERROR(Z64+(AA64*Reference!$B$220)+(AB64*Reference!$B$221),"")</f>
        <v>0</v>
      </c>
      <c r="AD64" s="34"/>
      <c r="AE64" s="34" t="str">
        <f t="shared" si="6"/>
        <v/>
      </c>
    </row>
    <row r="65" spans="1:31" x14ac:dyDescent="0.3">
      <c r="A65" s="129" t="str">
        <f>Reference!A99</f>
        <v>Rendered Animal Fat</v>
      </c>
      <c r="B65" s="129"/>
      <c r="C65" s="26">
        <v>1</v>
      </c>
      <c r="D65" s="16"/>
      <c r="E65" s="20"/>
      <c r="F65" s="21">
        <v>0</v>
      </c>
      <c r="G65" s="35">
        <f t="shared" si="19"/>
        <v>0</v>
      </c>
      <c r="H65" s="20"/>
      <c r="I65" s="20"/>
      <c r="J65" s="20"/>
      <c r="K65" s="19"/>
      <c r="L65" s="19"/>
      <c r="M65" s="19"/>
      <c r="N65" s="19"/>
      <c r="O65" s="19"/>
      <c r="P65" s="19"/>
      <c r="Q65" s="34">
        <f>D65+E65-G65</f>
        <v>0</v>
      </c>
      <c r="R65" s="34">
        <f>(D65+E65-G65)*C65</f>
        <v>0</v>
      </c>
      <c r="S65" s="34">
        <f>IF((Q65-R65)&gt;0,(Q65-R65)*Reference!D99,0)</f>
        <v>0</v>
      </c>
      <c r="T65" s="34">
        <f>IF((R65)&gt;0,(R65)*Reference!D99,0)</f>
        <v>0</v>
      </c>
      <c r="U65" s="143">
        <f>IF(Q65&gt;0, Q65*Reference!$B$198*(1/Reference!$A$209)*Reference!$A$210,0)</f>
        <v>0</v>
      </c>
      <c r="V65" s="143">
        <f>IF(Q65&gt;0,Q65*Reference!$C$198*(1/Reference!$A$209)*Reference!$A$210,0)</f>
        <v>0</v>
      </c>
      <c r="W65" s="34">
        <f>IFERROR(S65+T65+(U65*Reference!$B$220)+(V65*Reference!$B$221),"")</f>
        <v>0</v>
      </c>
      <c r="X65" s="34">
        <f t="shared" si="20"/>
        <v>0</v>
      </c>
      <c r="Y65" s="34">
        <f t="shared" si="4"/>
        <v>0</v>
      </c>
      <c r="Z65" s="34">
        <f>IF(X65&gt;0,(X65)*Reference!D99,0)</f>
        <v>0</v>
      </c>
      <c r="AA65" s="140">
        <f>IF((X65+Y65)&gt;0, (X65+Y65)*Reference!$B$198*(1/Reference!$A$209)*Reference!$A$210,0)</f>
        <v>0</v>
      </c>
      <c r="AB65" s="140">
        <f>IF((X65+Y65)&gt;0,(X65+Y65)*Reference!$C$198*(1/Reference!$A$209)*Reference!$A$210,0)</f>
        <v>0</v>
      </c>
      <c r="AC65" s="34">
        <f>IFERROR(Z65+(AA65*Reference!$B$220)+(AB65*Reference!$B$221),"")</f>
        <v>0</v>
      </c>
      <c r="AD65" s="34"/>
      <c r="AE65" s="34" t="str">
        <f t="shared" si="6"/>
        <v/>
      </c>
    </row>
    <row r="66" spans="1:31" x14ac:dyDescent="0.3">
      <c r="A66" s="130" t="str">
        <f>Reference!A100</f>
        <v>Vegetable Oil</v>
      </c>
      <c r="B66" s="130"/>
      <c r="C66" s="27">
        <v>1</v>
      </c>
      <c r="D66" s="16"/>
      <c r="E66" s="23"/>
      <c r="F66" s="24">
        <v>0</v>
      </c>
      <c r="G66" s="35">
        <f t="shared" si="19"/>
        <v>0</v>
      </c>
      <c r="H66" s="23"/>
      <c r="I66" s="23"/>
      <c r="J66" s="23"/>
      <c r="K66" s="25"/>
      <c r="L66" s="25"/>
      <c r="M66" s="25"/>
      <c r="N66" s="25"/>
      <c r="O66" s="25"/>
      <c r="P66" s="25"/>
      <c r="Q66" s="34">
        <f>D66+E66-G66</f>
        <v>0</v>
      </c>
      <c r="R66" s="34">
        <f>(D66+E66-G66)*C66</f>
        <v>0</v>
      </c>
      <c r="S66" s="145">
        <f>IF((Q66-R66)&gt;0,(Q66-R66)*Reference!D100,0)</f>
        <v>0</v>
      </c>
      <c r="T66" s="144">
        <f>IF((R66)&gt;0,(R66)*Reference!D100,0)</f>
        <v>0</v>
      </c>
      <c r="U66" s="143">
        <f>IF(Q66&gt;0, Q66*Reference!$B$198*(1/Reference!$A$209)*Reference!$A$210,0)</f>
        <v>0</v>
      </c>
      <c r="V66" s="143">
        <f>IF(Q66&gt;0,Q66*Reference!$C$198*(1/Reference!$A$209)*Reference!$A$210,0)</f>
        <v>0</v>
      </c>
      <c r="W66" s="34">
        <f>IFERROR(S66+T66+(U66*Reference!$B$220)+(V66*Reference!$B$221),"")</f>
        <v>0</v>
      </c>
      <c r="X66" s="34">
        <f t="shared" si="20"/>
        <v>0</v>
      </c>
      <c r="Y66" s="34">
        <f t="shared" si="4"/>
        <v>0</v>
      </c>
      <c r="Z66" s="34">
        <f>IF(X66&gt;0,(X66)*Reference!D100,0)</f>
        <v>0</v>
      </c>
      <c r="AA66" s="140">
        <f>IF((X66+Y66)&gt;0, (X66+Y66)*Reference!$B$198*(1/Reference!$A$209)*Reference!$A$210,0)</f>
        <v>0</v>
      </c>
      <c r="AB66" s="140">
        <f>IF((X66+Y66)&gt;0,(X66+Y66)*Reference!$C$198*(1/Reference!$A$209)*Reference!$A$210,0)</f>
        <v>0</v>
      </c>
      <c r="AC66" s="34">
        <f>IFERROR(Z66+(AA66*Reference!$B$220)+(AB66*Reference!$B$221),"")</f>
        <v>0</v>
      </c>
      <c r="AD66" s="34"/>
      <c r="AE66" s="34" t="str">
        <f t="shared" si="6"/>
        <v/>
      </c>
    </row>
    <row r="67" spans="1:31" x14ac:dyDescent="0.3">
      <c r="A67" s="133" t="s">
        <v>184</v>
      </c>
      <c r="B67" s="133"/>
      <c r="C67" s="133"/>
      <c r="D67" s="141"/>
      <c r="E67" s="141"/>
      <c r="F67" s="141"/>
      <c r="G67" s="141"/>
      <c r="H67" s="141"/>
      <c r="I67" s="141"/>
      <c r="J67" s="141"/>
      <c r="K67" s="142"/>
      <c r="L67" s="142"/>
      <c r="M67" s="142"/>
      <c r="N67" s="142"/>
      <c r="O67" s="142"/>
      <c r="P67" s="142"/>
      <c r="Q67" s="141"/>
      <c r="R67" s="141">
        <f>SUM(R4:R66)+SUM(R77:R86)</f>
        <v>0</v>
      </c>
      <c r="S67" s="141">
        <f>SUM(S4:S66)+SUM(S77:S86)</f>
        <v>0</v>
      </c>
      <c r="T67" s="141">
        <f t="shared" ref="T67:W67" si="21">SUM(T4:T66)+SUM(T77:T86)</f>
        <v>0</v>
      </c>
      <c r="U67" s="141">
        <f t="shared" si="21"/>
        <v>0</v>
      </c>
      <c r="V67" s="141">
        <f t="shared" si="21"/>
        <v>0</v>
      </c>
      <c r="W67" s="141">
        <f t="shared" si="21"/>
        <v>0</v>
      </c>
      <c r="X67" s="141"/>
      <c r="Y67" s="141">
        <f>SUM(Y4:Y66)+SUM(Y77:Y86)</f>
        <v>0</v>
      </c>
      <c r="Z67" s="141">
        <f>SUM(Z4:Z66)+SUM(Z77:Z86)</f>
        <v>0</v>
      </c>
      <c r="AA67" s="141">
        <f>SUM(AA4:AA66)+SUM(AA77:AA86)</f>
        <v>0</v>
      </c>
      <c r="AB67" s="141">
        <f>SUM(AB4:AB66)+SUM(AB77:AB86)</f>
        <v>0</v>
      </c>
      <c r="AC67" s="141">
        <f>SUM(AC4:AC66)+SUM(AC77:AC86)</f>
        <v>0</v>
      </c>
      <c r="AD67" s="141"/>
      <c r="AE67" s="141"/>
    </row>
    <row r="68" spans="1:31" x14ac:dyDescent="0.3">
      <c r="A68"/>
      <c r="B68"/>
      <c r="G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x14ac:dyDescent="0.3">
      <c r="A69"/>
      <c r="B69"/>
      <c r="G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pans="1:31" x14ac:dyDescent="0.3">
      <c r="A70" s="1" t="s">
        <v>242</v>
      </c>
      <c r="B70"/>
      <c r="G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pans="1:31" x14ac:dyDescent="0.3">
      <c r="A71" s="115" t="s">
        <v>238</v>
      </c>
      <c r="B71"/>
      <c r="G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1:31" x14ac:dyDescent="0.3">
      <c r="A72" s="28"/>
      <c r="E72" s="109"/>
      <c r="F72" s="109"/>
      <c r="G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31" ht="92.4" customHeight="1" x14ac:dyDescent="0.3">
      <c r="A73" s="134" t="s">
        <v>254</v>
      </c>
      <c r="B73"/>
      <c r="G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31" ht="18" customHeight="1" x14ac:dyDescent="0.3">
      <c r="A74" s="72"/>
      <c r="B74"/>
      <c r="G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31" ht="21" customHeight="1" x14ac:dyDescent="0.3">
      <c r="A75" s="135" t="s">
        <v>312</v>
      </c>
      <c r="B75"/>
      <c r="G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ht="115.2" x14ac:dyDescent="0.3">
      <c r="A76" s="115" t="s">
        <v>202</v>
      </c>
      <c r="B76" s="115" t="s">
        <v>218</v>
      </c>
      <c r="C76" s="116" t="s">
        <v>222</v>
      </c>
      <c r="D76" s="116" t="s">
        <v>235</v>
      </c>
      <c r="E76" s="116" t="s">
        <v>236</v>
      </c>
      <c r="F76" s="116" t="s">
        <v>255</v>
      </c>
      <c r="G76" s="116" t="s">
        <v>256</v>
      </c>
      <c r="H76" s="116" t="s">
        <v>271</v>
      </c>
      <c r="I76" s="116" t="s">
        <v>270</v>
      </c>
      <c r="J76" s="116" t="s">
        <v>272</v>
      </c>
      <c r="K76" s="116" t="s">
        <v>211</v>
      </c>
      <c r="L76" s="117" t="s">
        <v>203</v>
      </c>
      <c r="M76" s="117" t="s">
        <v>189</v>
      </c>
      <c r="N76" s="117" t="s">
        <v>190</v>
      </c>
      <c r="O76" s="117" t="s">
        <v>273</v>
      </c>
      <c r="P76" s="117" t="s">
        <v>221</v>
      </c>
      <c r="Q76" s="148" t="s">
        <v>237</v>
      </c>
      <c r="R76" s="148" t="s">
        <v>239</v>
      </c>
      <c r="S76" s="148" t="s">
        <v>225</v>
      </c>
      <c r="T76" s="149" t="s">
        <v>226</v>
      </c>
      <c r="U76" s="148" t="s">
        <v>227</v>
      </c>
      <c r="V76" s="148" t="s">
        <v>228</v>
      </c>
      <c r="W76" s="150" t="s">
        <v>229</v>
      </c>
      <c r="X76" s="148" t="s">
        <v>241</v>
      </c>
      <c r="Y76" s="148" t="s">
        <v>240</v>
      </c>
      <c r="Z76" s="148" t="s">
        <v>230</v>
      </c>
      <c r="AA76" s="148" t="s">
        <v>231</v>
      </c>
      <c r="AB76" s="148" t="s">
        <v>232</v>
      </c>
      <c r="AC76" s="150" t="s">
        <v>233</v>
      </c>
      <c r="AD76" s="117" t="s">
        <v>315</v>
      </c>
      <c r="AE76" s="148" t="s">
        <v>310</v>
      </c>
    </row>
    <row r="77" spans="1:31" x14ac:dyDescent="0.3">
      <c r="A77" s="136" t="s">
        <v>311</v>
      </c>
      <c r="B77" s="137"/>
      <c r="C77" s="26">
        <v>0</v>
      </c>
      <c r="D77" s="248"/>
      <c r="E77" s="248"/>
      <c r="F77" s="26">
        <v>0</v>
      </c>
      <c r="G77" s="251">
        <f>SUM(H77:J77)</f>
        <v>0</v>
      </c>
      <c r="H77" s="248"/>
      <c r="I77" s="248"/>
      <c r="J77" s="248"/>
      <c r="K77" s="252"/>
      <c r="L77" s="252"/>
      <c r="M77" s="252"/>
      <c r="N77" s="252"/>
      <c r="O77" s="252"/>
      <c r="P77" s="56"/>
      <c r="Q77" s="151">
        <f>D77+E77-G77</f>
        <v>0</v>
      </c>
      <c r="R77" s="151">
        <f t="shared" ref="R77:R86" si="22">(D77+E77-G77)*C77</f>
        <v>0</v>
      </c>
      <c r="S77" s="152">
        <f>IF((Q77-R77)&gt;0,(Q77-R77)*Reference!$D$54,0)</f>
        <v>0</v>
      </c>
      <c r="T77" s="152">
        <f>IF((R77)&gt;0,(R77)*Reference!$D$54,0)</f>
        <v>0</v>
      </c>
      <c r="U77" s="153">
        <f>IF(Q77&gt;0, Q77*Reference!$B$196*(1/Reference!$A$209)*Reference!$A$210,0)</f>
        <v>0</v>
      </c>
      <c r="V77" s="154">
        <f>IF(Q77&gt;0,Q77*Reference!$C$196*(1/Reference!$A$209)*Reference!$A$210,0)</f>
        <v>0</v>
      </c>
      <c r="W77" s="155">
        <f>IFERROR(S77+T77+(U77*Reference!$B$220)+(V77*Reference!$B$221),"")</f>
        <v>0</v>
      </c>
      <c r="X77" s="137">
        <f t="shared" ref="X77:X86" si="23">(D77+E77-G77-SUM(K77:O77))*(1-C77)</f>
        <v>0</v>
      </c>
      <c r="Y77" s="156">
        <f t="shared" ref="Y77:Y86" si="24">(D77+E77-G77-SUM(K77:N77))*C77</f>
        <v>0</v>
      </c>
      <c r="Z77" s="157">
        <f>IF(X77&gt;0,(X77)*Reference!$D$54,0)</f>
        <v>0</v>
      </c>
      <c r="AA77" s="158">
        <f>IF((X77+Y77)&gt;0, (X77+Y77)*Reference!$B$196*(1/Reference!$A$209)*Reference!$A$210,0)</f>
        <v>0</v>
      </c>
      <c r="AB77" s="154">
        <f>IF((X77+Y77)&gt;0,(X77+Y77)*Reference!$C$196*(1/Reference!$A$209)*Reference!$A$210,0)</f>
        <v>0</v>
      </c>
      <c r="AC77" s="159">
        <f>IFERROR(Z77+(AA77*Reference!$B$220)+(AB77*Reference!$B$221),"")</f>
        <v>0</v>
      </c>
      <c r="AD77" s="156"/>
      <c r="AE77" s="137" t="str">
        <f t="shared" ref="AE77:AE86" si="25">IF(AND((K77+L77+M77+N77+O77)&gt;0,(D77+E77-G77)&lt;(K77+L77+M77+N77+O77)),"Error: Col K-O exemptions exceed reported volume",IF((D77+E77-G77)&lt;0,"Error: net negative volume",""))</f>
        <v/>
      </c>
    </row>
    <row r="78" spans="1:31" x14ac:dyDescent="0.3">
      <c r="A78" s="136" t="s">
        <v>311</v>
      </c>
      <c r="B78" s="128"/>
      <c r="C78" s="26">
        <v>0</v>
      </c>
      <c r="D78" s="249"/>
      <c r="E78" s="249"/>
      <c r="F78" s="26">
        <v>0</v>
      </c>
      <c r="G78" s="253">
        <f t="shared" ref="G78:G86" si="26">SUM(H78:J78)</f>
        <v>0</v>
      </c>
      <c r="H78" s="249"/>
      <c r="I78" s="249"/>
      <c r="J78" s="249"/>
      <c r="K78" s="19"/>
      <c r="L78" s="19"/>
      <c r="M78" s="19"/>
      <c r="N78" s="19"/>
      <c r="O78" s="19"/>
      <c r="P78" s="57"/>
      <c r="Q78" s="160">
        <f t="shared" ref="Q78:Q86" si="27">D78+E78-G78</f>
        <v>0</v>
      </c>
      <c r="R78" s="160">
        <f t="shared" si="22"/>
        <v>0</v>
      </c>
      <c r="S78" s="161">
        <f>IF((Q78-R78)&gt;0,(Q78-R78)*Reference!$D$54,0)</f>
        <v>0</v>
      </c>
      <c r="T78" s="161">
        <f>IF((R78)&gt;0,(R78)*Reference!$D$54,0)</f>
        <v>0</v>
      </c>
      <c r="U78" s="162">
        <f>IF(Q78&gt;0, Q78*Reference!$B$196*(1/Reference!$A$209)*Reference!$A$210,0)</f>
        <v>0</v>
      </c>
      <c r="V78" s="163">
        <f>IF(Q78&gt;0,Q78*Reference!$C$196*(1/Reference!$A$209)*Reference!$A$210,0)</f>
        <v>0</v>
      </c>
      <c r="W78" s="164">
        <f>IFERROR(S78+T78+(U78*Reference!$B$220)+(V78*Reference!$B$221),"")</f>
        <v>0</v>
      </c>
      <c r="X78" s="128">
        <f t="shared" si="23"/>
        <v>0</v>
      </c>
      <c r="Y78" s="165">
        <f t="shared" si="24"/>
        <v>0</v>
      </c>
      <c r="Z78" s="166">
        <f>IF(X78&gt;0,(X78)*Reference!$D$54,0)</f>
        <v>0</v>
      </c>
      <c r="AA78" s="167">
        <f>IF((X78+Y78)&gt;0, (X78+Y78)*Reference!$B$196*(1/Reference!$A$209)*Reference!$A$210,0)</f>
        <v>0</v>
      </c>
      <c r="AB78" s="163">
        <f>IF((X78+Y78)&gt;0,(X78+Y78)*Reference!$C$196*(1/Reference!$A$209)*Reference!$A$210,0)</f>
        <v>0</v>
      </c>
      <c r="AC78" s="168">
        <f>IFERROR(Z78+(AA78*Reference!$B$220)+(AB78*Reference!$B$221),"")</f>
        <v>0</v>
      </c>
      <c r="AD78" s="165"/>
      <c r="AE78" s="128" t="str">
        <f t="shared" si="25"/>
        <v/>
      </c>
    </row>
    <row r="79" spans="1:31" x14ac:dyDescent="0.3">
      <c r="A79" s="136" t="s">
        <v>311</v>
      </c>
      <c r="B79" s="128"/>
      <c r="C79" s="26">
        <v>0</v>
      </c>
      <c r="D79" s="249"/>
      <c r="E79" s="249"/>
      <c r="F79" s="26">
        <v>0</v>
      </c>
      <c r="G79" s="253">
        <f t="shared" si="26"/>
        <v>0</v>
      </c>
      <c r="H79" s="249"/>
      <c r="I79" s="249"/>
      <c r="J79" s="249"/>
      <c r="K79" s="19"/>
      <c r="L79" s="19"/>
      <c r="M79" s="19"/>
      <c r="N79" s="19"/>
      <c r="O79" s="19"/>
      <c r="P79" s="57"/>
      <c r="Q79" s="160">
        <f t="shared" si="27"/>
        <v>0</v>
      </c>
      <c r="R79" s="160">
        <f t="shared" si="22"/>
        <v>0</v>
      </c>
      <c r="S79" s="161">
        <f>IF((Q79-R79)&gt;0,(Q79-R79)*Reference!$D$54,0)</f>
        <v>0</v>
      </c>
      <c r="T79" s="161">
        <f>IF((R79)&gt;0,(R79)*Reference!$D$54,0)</f>
        <v>0</v>
      </c>
      <c r="U79" s="162">
        <f>IF(Q79&gt;0, Q79*Reference!$B$196*(1/Reference!$A$209)*Reference!$A$210,0)</f>
        <v>0</v>
      </c>
      <c r="V79" s="163">
        <f>IF(Q79&gt;0,Q79*Reference!$C$196*(1/Reference!$A$209)*Reference!$A$210,0)</f>
        <v>0</v>
      </c>
      <c r="W79" s="164">
        <f>IFERROR(S79+T79+(U79*Reference!$B$220)+(V79*Reference!$B$221),"")</f>
        <v>0</v>
      </c>
      <c r="X79" s="128">
        <f t="shared" si="23"/>
        <v>0</v>
      </c>
      <c r="Y79" s="165">
        <f t="shared" si="24"/>
        <v>0</v>
      </c>
      <c r="Z79" s="166">
        <f>IF(X79&gt;0,(X79)*Reference!$D$54,0)</f>
        <v>0</v>
      </c>
      <c r="AA79" s="167">
        <f>IF((X79+Y79)&gt;0, (X79+Y79)*Reference!$B$196*(1/Reference!$A$209)*Reference!$A$210,0)</f>
        <v>0</v>
      </c>
      <c r="AB79" s="163">
        <f>IF((X79+Y79)&gt;0,(X79+Y79)*Reference!$C$196*(1/Reference!$A$209)*Reference!$A$210,0)</f>
        <v>0</v>
      </c>
      <c r="AC79" s="168">
        <f>IFERROR(Z79+(AA79*Reference!$B$220)+(AB79*Reference!$B$221),"")</f>
        <v>0</v>
      </c>
      <c r="AD79" s="165"/>
      <c r="AE79" s="128" t="str">
        <f t="shared" si="25"/>
        <v/>
      </c>
    </row>
    <row r="80" spans="1:31" x14ac:dyDescent="0.3">
      <c r="A80" s="136" t="s">
        <v>311</v>
      </c>
      <c r="B80" s="128"/>
      <c r="C80" s="26">
        <v>0</v>
      </c>
      <c r="D80" s="249"/>
      <c r="E80" s="249"/>
      <c r="F80" s="26">
        <v>0</v>
      </c>
      <c r="G80" s="253">
        <f t="shared" si="26"/>
        <v>0</v>
      </c>
      <c r="H80" s="249"/>
      <c r="I80" s="249"/>
      <c r="J80" s="249"/>
      <c r="K80" s="19"/>
      <c r="L80" s="19"/>
      <c r="M80" s="19"/>
      <c r="N80" s="19"/>
      <c r="O80" s="19"/>
      <c r="P80" s="57"/>
      <c r="Q80" s="160">
        <f t="shared" si="27"/>
        <v>0</v>
      </c>
      <c r="R80" s="160">
        <f t="shared" si="22"/>
        <v>0</v>
      </c>
      <c r="S80" s="161">
        <f>IF((Q80-R80)&gt;0,(Q80-R80)*Reference!$D$54,0)</f>
        <v>0</v>
      </c>
      <c r="T80" s="161">
        <f>IF((R80)&gt;0,(R80)*Reference!$D$54,0)</f>
        <v>0</v>
      </c>
      <c r="U80" s="162">
        <f>IF(Q80&gt;0, Q80*Reference!$B$196*(1/Reference!$A$209)*Reference!$A$210,0)</f>
        <v>0</v>
      </c>
      <c r="V80" s="163">
        <f>IF(Q80&gt;0,Q80*Reference!$C$196*(1/Reference!$A$209)*Reference!$A$210,0)</f>
        <v>0</v>
      </c>
      <c r="W80" s="164">
        <f>IFERROR(S80+T80+(U80*Reference!$B$220)+(V80*Reference!$B$221),"")</f>
        <v>0</v>
      </c>
      <c r="X80" s="128">
        <f t="shared" si="23"/>
        <v>0</v>
      </c>
      <c r="Y80" s="165">
        <f t="shared" si="24"/>
        <v>0</v>
      </c>
      <c r="Z80" s="166">
        <f>IF(X80&gt;0,(X80)*Reference!$D$54,0)</f>
        <v>0</v>
      </c>
      <c r="AA80" s="167">
        <f>IF((X80+Y80)&gt;0, (X80+Y80)*Reference!$B$196*(1/Reference!$A$209)*Reference!$A$210,0)</f>
        <v>0</v>
      </c>
      <c r="AB80" s="163">
        <f>IF((X80+Y80)&gt;0,(X80+Y80)*Reference!$C$196*(1/Reference!$A$209)*Reference!$A$210,0)</f>
        <v>0</v>
      </c>
      <c r="AC80" s="168">
        <f>IFERROR(Z80+(AA80*Reference!$B$220)+(AB80*Reference!$B$221),"")</f>
        <v>0</v>
      </c>
      <c r="AD80" s="165"/>
      <c r="AE80" s="128" t="str">
        <f t="shared" si="25"/>
        <v/>
      </c>
    </row>
    <row r="81" spans="1:31" x14ac:dyDescent="0.3">
      <c r="A81" s="136" t="s">
        <v>311</v>
      </c>
      <c r="B81" s="128"/>
      <c r="C81" s="26">
        <v>0</v>
      </c>
      <c r="D81" s="249"/>
      <c r="E81" s="249"/>
      <c r="F81" s="26">
        <v>0</v>
      </c>
      <c r="G81" s="253">
        <f t="shared" si="26"/>
        <v>0</v>
      </c>
      <c r="H81" s="249"/>
      <c r="I81" s="249"/>
      <c r="J81" s="249"/>
      <c r="K81" s="19"/>
      <c r="L81" s="19"/>
      <c r="M81" s="19"/>
      <c r="N81" s="19"/>
      <c r="O81" s="19"/>
      <c r="P81" s="57"/>
      <c r="Q81" s="160">
        <f t="shared" si="27"/>
        <v>0</v>
      </c>
      <c r="R81" s="160">
        <f t="shared" si="22"/>
        <v>0</v>
      </c>
      <c r="S81" s="161">
        <f>IF((Q81-R81)&gt;0,(Q81-R81)*Reference!$D$54,0)</f>
        <v>0</v>
      </c>
      <c r="T81" s="161">
        <f>IF((R81)&gt;0,(R81)*Reference!$D$54,0)</f>
        <v>0</v>
      </c>
      <c r="U81" s="162">
        <f>IF(Q81&gt;0, Q81*Reference!$B$196*(1/Reference!$A$209)*Reference!$A$210,0)</f>
        <v>0</v>
      </c>
      <c r="V81" s="163">
        <f>IF(Q81&gt;0,Q81*Reference!$C$196*(1/Reference!$A$209)*Reference!$A$210,0)</f>
        <v>0</v>
      </c>
      <c r="W81" s="164">
        <f>IFERROR(S81+T81+(U81*Reference!$B$220)+(V81*Reference!$B$221),"")</f>
        <v>0</v>
      </c>
      <c r="X81" s="128">
        <f t="shared" si="23"/>
        <v>0</v>
      </c>
      <c r="Y81" s="165">
        <f t="shared" si="24"/>
        <v>0</v>
      </c>
      <c r="Z81" s="166">
        <f>IF(X81&gt;0,(X81)*Reference!$D$54,0)</f>
        <v>0</v>
      </c>
      <c r="AA81" s="167">
        <f>IF((X81+Y81)&gt;0, (X81+Y81)*Reference!$B$196*(1/Reference!$A$209)*Reference!$A$210,0)</f>
        <v>0</v>
      </c>
      <c r="AB81" s="163">
        <f>IF((X81+Y81)&gt;0,(X81+Y81)*Reference!$C$196*(1/Reference!$A$209)*Reference!$A$210,0)</f>
        <v>0</v>
      </c>
      <c r="AC81" s="168">
        <f>IFERROR(Z81+(AA81*Reference!$B$220)+(AB81*Reference!$B$221),"")</f>
        <v>0</v>
      </c>
      <c r="AD81" s="165"/>
      <c r="AE81" s="128" t="str">
        <f t="shared" si="25"/>
        <v/>
      </c>
    </row>
    <row r="82" spans="1:31" x14ac:dyDescent="0.3">
      <c r="A82" s="136" t="s">
        <v>311</v>
      </c>
      <c r="B82" s="128"/>
      <c r="C82" s="26">
        <v>0</v>
      </c>
      <c r="D82" s="249"/>
      <c r="E82" s="249"/>
      <c r="F82" s="26">
        <v>0</v>
      </c>
      <c r="G82" s="253">
        <f t="shared" si="26"/>
        <v>0</v>
      </c>
      <c r="H82" s="249"/>
      <c r="I82" s="249"/>
      <c r="J82" s="249"/>
      <c r="K82" s="19"/>
      <c r="L82" s="19"/>
      <c r="M82" s="19"/>
      <c r="N82" s="19"/>
      <c r="O82" s="19"/>
      <c r="P82" s="57"/>
      <c r="Q82" s="160">
        <f t="shared" si="27"/>
        <v>0</v>
      </c>
      <c r="R82" s="160">
        <f t="shared" si="22"/>
        <v>0</v>
      </c>
      <c r="S82" s="161">
        <f>IF((Q82-R82)&gt;0,(Q82-R82)*Reference!$D$54,0)</f>
        <v>0</v>
      </c>
      <c r="T82" s="161">
        <f>IF((R82)&gt;0,(R82)*Reference!$D$54,0)</f>
        <v>0</v>
      </c>
      <c r="U82" s="162">
        <f>IF(Q82&gt;0, Q82*Reference!$B$196*(1/Reference!$A$209)*Reference!$A$210,0)</f>
        <v>0</v>
      </c>
      <c r="V82" s="163">
        <f>IF(Q82&gt;0,Q82*Reference!$C$196*(1/Reference!$A$209)*Reference!$A$210,0)</f>
        <v>0</v>
      </c>
      <c r="W82" s="164">
        <f>IFERROR(S82+T82+(U82*Reference!$B$220)+(V82*Reference!$B$221),"")</f>
        <v>0</v>
      </c>
      <c r="X82" s="128">
        <f t="shared" si="23"/>
        <v>0</v>
      </c>
      <c r="Y82" s="165">
        <f t="shared" si="24"/>
        <v>0</v>
      </c>
      <c r="Z82" s="166">
        <f>IF(X82&gt;0,(X82)*Reference!$D$54,0)</f>
        <v>0</v>
      </c>
      <c r="AA82" s="167">
        <f>IF((X82+Y82)&gt;0, (X82+Y82)*Reference!$B$196*(1/Reference!$A$209)*Reference!$A$210,0)</f>
        <v>0</v>
      </c>
      <c r="AB82" s="163">
        <f>IF((X82+Y82)&gt;0,(X82+Y82)*Reference!$C$196*(1/Reference!$A$209)*Reference!$A$210,0)</f>
        <v>0</v>
      </c>
      <c r="AC82" s="168">
        <f>IFERROR(Z82+(AA82*Reference!$B$220)+(AB82*Reference!$B$221),"")</f>
        <v>0</v>
      </c>
      <c r="AD82" s="165"/>
      <c r="AE82" s="128" t="str">
        <f t="shared" si="25"/>
        <v/>
      </c>
    </row>
    <row r="83" spans="1:31" x14ac:dyDescent="0.3">
      <c r="A83" s="136" t="s">
        <v>311</v>
      </c>
      <c r="B83" s="128"/>
      <c r="C83" s="26">
        <v>0</v>
      </c>
      <c r="D83" s="249"/>
      <c r="E83" s="249"/>
      <c r="F83" s="26">
        <v>0</v>
      </c>
      <c r="G83" s="253">
        <f t="shared" si="26"/>
        <v>0</v>
      </c>
      <c r="H83" s="249"/>
      <c r="I83" s="249"/>
      <c r="J83" s="249"/>
      <c r="K83" s="19"/>
      <c r="L83" s="19"/>
      <c r="M83" s="19"/>
      <c r="N83" s="19"/>
      <c r="O83" s="19"/>
      <c r="P83" s="57"/>
      <c r="Q83" s="160">
        <f t="shared" si="27"/>
        <v>0</v>
      </c>
      <c r="R83" s="160">
        <f t="shared" si="22"/>
        <v>0</v>
      </c>
      <c r="S83" s="161">
        <f>IF((Q83-R83)&gt;0,(Q83-R83)*Reference!$D$54,0)</f>
        <v>0</v>
      </c>
      <c r="T83" s="161">
        <f>IF((R83)&gt;0,(R83)*Reference!$D$54,0)</f>
        <v>0</v>
      </c>
      <c r="U83" s="162">
        <f>IF(Q83&gt;0, Q83*Reference!$B$196*(1/Reference!$A$209)*Reference!$A$210,0)</f>
        <v>0</v>
      </c>
      <c r="V83" s="163">
        <f>IF(Q83&gt;0,Q83*Reference!$C$196*(1/Reference!$A$209)*Reference!$A$210,0)</f>
        <v>0</v>
      </c>
      <c r="W83" s="164">
        <f>IFERROR(S83+T83+(U83*Reference!$B$220)+(V83*Reference!$B$221),"")</f>
        <v>0</v>
      </c>
      <c r="X83" s="128">
        <f t="shared" si="23"/>
        <v>0</v>
      </c>
      <c r="Y83" s="165">
        <f t="shared" si="24"/>
        <v>0</v>
      </c>
      <c r="Z83" s="166">
        <f>IF(X83&gt;0,(X83)*Reference!$D$54,0)</f>
        <v>0</v>
      </c>
      <c r="AA83" s="167">
        <f>IF((X83+Y83)&gt;0, (X83+Y83)*Reference!$B$196*(1/Reference!$A$209)*Reference!$A$210,0)</f>
        <v>0</v>
      </c>
      <c r="AB83" s="163">
        <f>IF((X83+Y83)&gt;0,(X83+Y83)*Reference!$C$196*(1/Reference!$A$209)*Reference!$A$210,0)</f>
        <v>0</v>
      </c>
      <c r="AC83" s="168">
        <f>IFERROR(Z83+(AA83*Reference!$B$220)+(AB83*Reference!$B$221),"")</f>
        <v>0</v>
      </c>
      <c r="AD83" s="165"/>
      <c r="AE83" s="128" t="str">
        <f t="shared" si="25"/>
        <v/>
      </c>
    </row>
    <row r="84" spans="1:31" x14ac:dyDescent="0.3">
      <c r="A84" s="136" t="s">
        <v>311</v>
      </c>
      <c r="B84" s="128"/>
      <c r="C84" s="26">
        <v>0</v>
      </c>
      <c r="D84" s="249"/>
      <c r="E84" s="249"/>
      <c r="F84" s="26">
        <v>0</v>
      </c>
      <c r="G84" s="253">
        <f t="shared" si="26"/>
        <v>0</v>
      </c>
      <c r="H84" s="249"/>
      <c r="I84" s="249"/>
      <c r="J84" s="249"/>
      <c r="K84" s="19"/>
      <c r="L84" s="19"/>
      <c r="M84" s="19"/>
      <c r="N84" s="19"/>
      <c r="O84" s="19"/>
      <c r="P84" s="57"/>
      <c r="Q84" s="160">
        <f t="shared" si="27"/>
        <v>0</v>
      </c>
      <c r="R84" s="160">
        <f t="shared" si="22"/>
        <v>0</v>
      </c>
      <c r="S84" s="161">
        <f>IF((Q84-R84)&gt;0,(Q84-R84)*Reference!$D$54,0)</f>
        <v>0</v>
      </c>
      <c r="T84" s="161">
        <f>IF((R84)&gt;0,(R84)*Reference!$D$54,0)</f>
        <v>0</v>
      </c>
      <c r="U84" s="162">
        <f>IF(Q84&gt;0, Q84*Reference!$B$196*(1/Reference!$A$209)*Reference!$A$210,0)</f>
        <v>0</v>
      </c>
      <c r="V84" s="163">
        <f>IF(Q84&gt;0,Q84*Reference!$C$196*(1/Reference!$A$209)*Reference!$A$210,0)</f>
        <v>0</v>
      </c>
      <c r="W84" s="164">
        <f>IFERROR(S84+T84+(U84*Reference!$B$220)+(V84*Reference!$B$221),"")</f>
        <v>0</v>
      </c>
      <c r="X84" s="128">
        <f t="shared" si="23"/>
        <v>0</v>
      </c>
      <c r="Y84" s="165">
        <f t="shared" si="24"/>
        <v>0</v>
      </c>
      <c r="Z84" s="166">
        <f>IF(X84&gt;0,(X84)*Reference!$D$54,0)</f>
        <v>0</v>
      </c>
      <c r="AA84" s="167">
        <f>IF((X84+Y84)&gt;0, (X84+Y84)*Reference!$B$196*(1/Reference!$A$209)*Reference!$A$210,0)</f>
        <v>0</v>
      </c>
      <c r="AB84" s="163">
        <f>IF((X84+Y84)&gt;0,(X84+Y84)*Reference!$C$196*(1/Reference!$A$209)*Reference!$A$210,0)</f>
        <v>0</v>
      </c>
      <c r="AC84" s="168">
        <f>IFERROR(Z84+(AA84*Reference!$B$220)+(AB84*Reference!$B$221),"")</f>
        <v>0</v>
      </c>
      <c r="AD84" s="165"/>
      <c r="AE84" s="128" t="str">
        <f t="shared" si="25"/>
        <v/>
      </c>
    </row>
    <row r="85" spans="1:31" x14ac:dyDescent="0.3">
      <c r="A85" s="136" t="s">
        <v>311</v>
      </c>
      <c r="B85" s="128"/>
      <c r="C85" s="26">
        <v>0</v>
      </c>
      <c r="D85" s="249"/>
      <c r="E85" s="249"/>
      <c r="F85" s="26">
        <v>0</v>
      </c>
      <c r="G85" s="253">
        <f t="shared" si="26"/>
        <v>0</v>
      </c>
      <c r="H85" s="249"/>
      <c r="I85" s="249"/>
      <c r="J85" s="249"/>
      <c r="K85" s="19"/>
      <c r="L85" s="19"/>
      <c r="M85" s="19"/>
      <c r="N85" s="19"/>
      <c r="O85" s="19"/>
      <c r="P85" s="57"/>
      <c r="Q85" s="160">
        <f t="shared" si="27"/>
        <v>0</v>
      </c>
      <c r="R85" s="160">
        <f t="shared" si="22"/>
        <v>0</v>
      </c>
      <c r="S85" s="161">
        <f>IF((Q85-R85)&gt;0,(Q85-R85)*Reference!$D$54,0)</f>
        <v>0</v>
      </c>
      <c r="T85" s="161">
        <f>IF((R85)&gt;0,(R85)*Reference!$D$54,0)</f>
        <v>0</v>
      </c>
      <c r="U85" s="162">
        <f>IF(Q85&gt;0, Q85*Reference!$B$196*(1/Reference!$A$209)*Reference!$A$210,0)</f>
        <v>0</v>
      </c>
      <c r="V85" s="163">
        <f>IF(Q85&gt;0,Q85*Reference!$C$196*(1/Reference!$A$209)*Reference!$A$210,0)</f>
        <v>0</v>
      </c>
      <c r="W85" s="164">
        <f>IFERROR(S85+T85+(U85*Reference!$B$220)+(V85*Reference!$B$221),"")</f>
        <v>0</v>
      </c>
      <c r="X85" s="128">
        <f t="shared" si="23"/>
        <v>0</v>
      </c>
      <c r="Y85" s="165">
        <f t="shared" si="24"/>
        <v>0</v>
      </c>
      <c r="Z85" s="166">
        <f>IF(X85&gt;0,(X85)*Reference!$D$54,0)</f>
        <v>0</v>
      </c>
      <c r="AA85" s="167">
        <f>IF((X85+Y85)&gt;0, (X85+Y85)*Reference!$B$196*(1/Reference!$A$209)*Reference!$A$210,0)</f>
        <v>0</v>
      </c>
      <c r="AB85" s="163">
        <f>IF((X85+Y85)&gt;0,(X85+Y85)*Reference!$C$196*(1/Reference!$A$209)*Reference!$A$210,0)</f>
        <v>0</v>
      </c>
      <c r="AC85" s="168">
        <f>IFERROR(Z85+(AA85*Reference!$B$220)+(AB85*Reference!$B$221),"")</f>
        <v>0</v>
      </c>
      <c r="AD85" s="165"/>
      <c r="AE85" s="128" t="str">
        <f t="shared" si="25"/>
        <v/>
      </c>
    </row>
    <row r="86" spans="1:31" x14ac:dyDescent="0.3">
      <c r="A86" s="76" t="s">
        <v>311</v>
      </c>
      <c r="B86" s="94"/>
      <c r="C86" s="27">
        <v>0</v>
      </c>
      <c r="D86" s="250"/>
      <c r="E86" s="250"/>
      <c r="F86" s="27">
        <v>0</v>
      </c>
      <c r="G86" s="254">
        <f t="shared" si="26"/>
        <v>0</v>
      </c>
      <c r="H86" s="250"/>
      <c r="I86" s="250"/>
      <c r="J86" s="250"/>
      <c r="K86" s="25"/>
      <c r="L86" s="25"/>
      <c r="M86" s="25"/>
      <c r="N86" s="25"/>
      <c r="O86" s="25"/>
      <c r="P86" s="58"/>
      <c r="Q86" s="169">
        <f t="shared" si="27"/>
        <v>0</v>
      </c>
      <c r="R86" s="169">
        <f t="shared" si="22"/>
        <v>0</v>
      </c>
      <c r="S86" s="170">
        <f>IF((Q86-R86)&gt;0,(Q86-R86)*Reference!$D$54,0)</f>
        <v>0</v>
      </c>
      <c r="T86" s="170">
        <f>IF((R86)&gt;0,(R86)*Reference!$D$54,0)</f>
        <v>0</v>
      </c>
      <c r="U86" s="171">
        <f>IF(Q86&gt;0, Q86*Reference!$B$196*(1/Reference!$A$209)*Reference!$A$210,0)</f>
        <v>0</v>
      </c>
      <c r="V86" s="172">
        <f>IF(Q86&gt;0,Q86*Reference!$C$196*(1/Reference!$A$209)*Reference!$A$210,0)</f>
        <v>0</v>
      </c>
      <c r="W86" s="173">
        <f>IFERROR(S86+T86+(U86*Reference!$B$220)+(V86*Reference!$B$221),"")</f>
        <v>0</v>
      </c>
      <c r="X86" s="94">
        <f t="shared" si="23"/>
        <v>0</v>
      </c>
      <c r="Y86" s="92">
        <f t="shared" si="24"/>
        <v>0</v>
      </c>
      <c r="Z86" s="174">
        <f>IF(X86&gt;0,(X86)*Reference!$D$54,0)</f>
        <v>0</v>
      </c>
      <c r="AA86" s="175">
        <f>IF((X86+Y86)&gt;0, (X86+Y86)*Reference!$B$196*(1/Reference!$A$209)*Reference!$A$210,0)</f>
        <v>0</v>
      </c>
      <c r="AB86" s="172">
        <f>IF((X86+Y86)&gt;0,(X86+Y86)*Reference!$C$196*(1/Reference!$A$209)*Reference!$A$210,0)</f>
        <v>0</v>
      </c>
      <c r="AC86" s="176">
        <f>IFERROR(Z86+(AA86*Reference!$B$220)+(AB86*Reference!$B$221),"")</f>
        <v>0</v>
      </c>
      <c r="AD86" s="92"/>
      <c r="AE86" s="94" t="str">
        <f t="shared" si="25"/>
        <v/>
      </c>
    </row>
    <row r="87" spans="1:31" x14ac:dyDescent="0.3">
      <c r="A87"/>
      <c r="B87"/>
      <c r="G87"/>
    </row>
  </sheetData>
  <sheetProtection algorithmName="SHA-512" hashValue="RLuLLPcWhCFqkptdmoBIvPlwtWJDJD8qRwtcRBI7xvVuhB6WhO9yloEwgxoe5z6s9+V+n5nPUB+cMnJk9mwkFg==" saltValue="qv0/9cE9ELgiym9yFy/yJA==" spinCount="100000" sheet="1" objects="1" scenarios="1"/>
  <conditionalFormatting sqref="AE3:AE67">
    <cfRule type="cellIs" dxfId="1" priority="1" stopIfTrue="1" operator="equal">
      <formula>"Error: Col H-K exemptions exceed reported volume"</formula>
    </cfRule>
    <cfRule type="cellIs" dxfId="0" priority="2" operator="equal">
      <formula>"Check: net negative volume"</formula>
    </cfRule>
  </conditionalFormatting>
  <dataValidations count="7">
    <dataValidation allowBlank="1" showInputMessage="1" showErrorMessage="1" errorTitle="Uh oh!" error="Enter a value between 0 and 1" sqref="D67:E68 F68 A71:A72 G1:J3 A1:B68 C68 AB1:AD68 C1:F2 G67:J69 K67:O68 K1:K2 L2:O2 U2:U68 P1:T68 V1:Z68 AA2:AA68 A76:AD76" xr:uid="{00000000-0002-0000-0100-000000000000}"/>
    <dataValidation type="decimal" allowBlank="1" showInputMessage="1" showErrorMessage="1" errorTitle="Uh oh!" error="Enter a value between 0 and 1" sqref="C62 C67 C3 C17 C24 C37 C40 C43 F3 F17 F24 F37 F40 F43 F62 F67" xr:uid="{00000000-0002-0000-0100-000001000000}">
      <formula1>0</formula1>
      <formula2>1</formula2>
    </dataValidation>
    <dataValidation type="decimal" operator="greaterThanOrEqual" allowBlank="1" showInputMessage="1" showErrorMessage="1" errorTitle="Uh oh!" error="Enter a value between 0 and 1" sqref="D62:E62 D3:E3 D17:E17 D24:E24 D37:E37 D40:E40 D43:E43 K3:O3 G17:O17 G24:O24 G37:O37 H43:O43 H40:O40 H62:O62" xr:uid="{00000000-0002-0000-0100-000002000000}">
      <formula1>0</formula1>
    </dataValidation>
    <dataValidation type="decimal" operator="greaterThanOrEqual" allowBlank="1" showInputMessage="1" showErrorMessage="1" errorTitle="Uh oh!" error="This cell does not accept text.  Enter a number." sqref="D4:E16" xr:uid="{00000000-0002-0000-0100-000003000000}">
      <formula1>0</formula1>
    </dataValidation>
    <dataValidation type="decimal" operator="greaterThanOrEqual" allowBlank="1" showInputMessage="1" showErrorMessage="1" errorTitle="Uh oh!" error="This cell does not accept text.  Enter a number.  " sqref="D18:E23 D25:E36 D38:E39 D41:E42 D44:E61 D63:E66 G4:O16 G18:O23 G25:O36 H44:O61 G38:O39 H41:O42 H63:O66 G40:G66" xr:uid="{00000000-0002-0000-0100-000004000000}">
      <formula1>0</formula1>
    </dataValidation>
    <dataValidation type="decimal" allowBlank="1" showInputMessage="1" showErrorMessage="1" errorTitle="Uh oh!" error="Enter a value between 0 and 100" sqref="C4:C16 C18:C23 C25:C36 C38:C39 C41:C42 C44:C61 C63:C66 C77:C86 F4:F16 F18:F23 F25:F36 F38:F39 F41:F42 F44:F61 F63:F65 F66" xr:uid="{2233FE31-408B-40A4-AA75-23F184E4E7F0}">
      <formula1>0</formula1>
      <formula2>1</formula2>
    </dataValidation>
    <dataValidation allowBlank="1" showInputMessage="1" showErrorMessage="1" errorTitle="Uh oh!" error="Enter a value between 0 and 100" sqref="F77:F86" xr:uid="{B5AC59DF-5610-4065-A326-F386080D1D18}"/>
  </dataValidations>
  <pageMargins left="0.7" right="0.7" top="0.75" bottom="0.75" header="0.3" footer="0.3"/>
  <pageSetup orientation="portrait" horizontalDpi="90" verticalDpi="9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21"/>
  <sheetViews>
    <sheetView zoomScaleNormal="100" workbookViewId="0">
      <selection activeCell="C7" sqref="C7"/>
    </sheetView>
  </sheetViews>
  <sheetFormatPr defaultColWidth="8.88671875" defaultRowHeight="14.4" x14ac:dyDescent="0.3"/>
  <cols>
    <col min="1" max="1" width="70.109375" customWidth="1"/>
    <col min="2" max="2" width="24.109375" bestFit="1" customWidth="1"/>
    <col min="3" max="3" width="24.44140625" bestFit="1" customWidth="1"/>
    <col min="4" max="4" width="24.33203125" customWidth="1"/>
    <col min="5" max="6" width="12" bestFit="1" customWidth="1"/>
  </cols>
  <sheetData>
    <row r="1" spans="1:7" ht="16.2" x14ac:dyDescent="0.3">
      <c r="A1" s="1" t="s">
        <v>149</v>
      </c>
      <c r="D1" s="177" t="s">
        <v>157</v>
      </c>
    </row>
    <row r="2" spans="1:7" x14ac:dyDescent="0.3">
      <c r="A2" s="178" t="s">
        <v>16</v>
      </c>
      <c r="B2" s="179" t="s">
        <v>72</v>
      </c>
      <c r="C2" s="179" t="s">
        <v>74</v>
      </c>
      <c r="D2" s="180" t="s">
        <v>77</v>
      </c>
    </row>
    <row r="3" spans="1:7" x14ac:dyDescent="0.3">
      <c r="A3" s="181"/>
      <c r="B3" s="182" t="s">
        <v>73</v>
      </c>
      <c r="C3" s="182" t="s">
        <v>75</v>
      </c>
      <c r="D3" s="183" t="s">
        <v>78</v>
      </c>
    </row>
    <row r="4" spans="1:7" ht="15.6" x14ac:dyDescent="0.35">
      <c r="A4" s="184" t="s">
        <v>71</v>
      </c>
      <c r="B4" s="185"/>
      <c r="C4" s="185" t="s">
        <v>76</v>
      </c>
      <c r="D4" s="186" t="s">
        <v>148</v>
      </c>
    </row>
    <row r="5" spans="1:7" x14ac:dyDescent="0.3">
      <c r="A5" s="187" t="s">
        <v>79</v>
      </c>
      <c r="B5" s="188"/>
      <c r="C5" s="188"/>
      <c r="D5" s="189"/>
    </row>
    <row r="6" spans="1:7" x14ac:dyDescent="0.3">
      <c r="A6" s="190" t="s">
        <v>80</v>
      </c>
      <c r="B6" s="191"/>
      <c r="C6" s="191"/>
      <c r="D6" s="192"/>
    </row>
    <row r="7" spans="1:7" x14ac:dyDescent="0.3">
      <c r="A7" s="193" t="s">
        <v>81</v>
      </c>
      <c r="B7" s="191">
        <v>0.1181</v>
      </c>
      <c r="C7" s="191">
        <v>86.66</v>
      </c>
      <c r="D7" s="192">
        <v>0.37530000000000002</v>
      </c>
      <c r="G7" t="s">
        <v>16</v>
      </c>
    </row>
    <row r="8" spans="1:7" x14ac:dyDescent="0.3">
      <c r="A8" s="193" t="s">
        <v>82</v>
      </c>
      <c r="B8" s="191">
        <v>0.1183</v>
      </c>
      <c r="C8" s="191">
        <v>86.63</v>
      </c>
      <c r="D8" s="192">
        <v>0.37580000000000002</v>
      </c>
    </row>
    <row r="9" spans="1:7" x14ac:dyDescent="0.3">
      <c r="A9" s="193" t="s">
        <v>83</v>
      </c>
      <c r="B9" s="191">
        <v>0.11849999999999999</v>
      </c>
      <c r="C9" s="191">
        <v>86.61</v>
      </c>
      <c r="D9" s="192">
        <v>0.37630000000000002</v>
      </c>
    </row>
    <row r="10" spans="1:7" x14ac:dyDescent="0.3">
      <c r="A10" s="190" t="s">
        <v>84</v>
      </c>
      <c r="B10" s="191"/>
      <c r="C10" s="191"/>
      <c r="D10" s="192"/>
    </row>
    <row r="11" spans="1:7" x14ac:dyDescent="0.3">
      <c r="A11" s="193" t="s">
        <v>81</v>
      </c>
      <c r="B11" s="191">
        <v>0.11550000000000001</v>
      </c>
      <c r="C11" s="191">
        <v>86.5</v>
      </c>
      <c r="D11" s="192">
        <v>0.36630000000000001</v>
      </c>
    </row>
    <row r="12" spans="1:7" x14ac:dyDescent="0.3">
      <c r="A12" s="193" t="s">
        <v>82</v>
      </c>
      <c r="B12" s="191">
        <v>0.11609999999999999</v>
      </c>
      <c r="C12" s="191">
        <v>86.55</v>
      </c>
      <c r="D12" s="192">
        <v>0.36840000000000001</v>
      </c>
    </row>
    <row r="13" spans="1:7" x14ac:dyDescent="0.3">
      <c r="A13" s="193" t="s">
        <v>83</v>
      </c>
      <c r="B13" s="191">
        <v>0.1167</v>
      </c>
      <c r="C13" s="191">
        <v>86.59</v>
      </c>
      <c r="D13" s="192">
        <v>0.3705</v>
      </c>
    </row>
    <row r="14" spans="1:7" x14ac:dyDescent="0.3">
      <c r="A14" s="190" t="s">
        <v>85</v>
      </c>
      <c r="B14" s="191"/>
      <c r="C14" s="191"/>
      <c r="D14" s="192"/>
    </row>
    <row r="15" spans="1:7" x14ac:dyDescent="0.3">
      <c r="A15" s="193" t="s">
        <v>81</v>
      </c>
      <c r="B15" s="191">
        <v>0.1167</v>
      </c>
      <c r="C15" s="191">
        <v>86.13</v>
      </c>
      <c r="D15" s="192">
        <v>0.36859999999999998</v>
      </c>
    </row>
    <row r="16" spans="1:7" x14ac:dyDescent="0.3">
      <c r="A16" s="193" t="s">
        <v>82</v>
      </c>
      <c r="B16" s="191">
        <v>0.11650000000000001</v>
      </c>
      <c r="C16" s="191">
        <v>86.07</v>
      </c>
      <c r="D16" s="192">
        <v>0.36770000000000003</v>
      </c>
    </row>
    <row r="17" spans="1:4" x14ac:dyDescent="0.3">
      <c r="A17" s="193" t="s">
        <v>83</v>
      </c>
      <c r="B17" s="191">
        <v>0.1164</v>
      </c>
      <c r="C17" s="191">
        <v>86</v>
      </c>
      <c r="D17" s="192">
        <v>0.36699999999999999</v>
      </c>
    </row>
    <row r="18" spans="1:4" x14ac:dyDescent="0.3">
      <c r="A18" s="190" t="s">
        <v>86</v>
      </c>
      <c r="B18" s="191"/>
      <c r="C18" s="191"/>
      <c r="D18" s="192"/>
    </row>
    <row r="19" spans="1:4" x14ac:dyDescent="0.3">
      <c r="A19" s="193" t="s">
        <v>81</v>
      </c>
      <c r="B19" s="191">
        <v>0.11650000000000001</v>
      </c>
      <c r="C19" s="191">
        <v>86.05</v>
      </c>
      <c r="D19" s="192">
        <v>0.36759999999999998</v>
      </c>
    </row>
    <row r="20" spans="1:4" ht="15.6" customHeight="1" x14ac:dyDescent="0.3">
      <c r="A20" s="193" t="s">
        <v>82</v>
      </c>
      <c r="B20" s="191">
        <v>0.11650000000000001</v>
      </c>
      <c r="C20" s="191">
        <v>86.06</v>
      </c>
      <c r="D20" s="192">
        <v>0.36759999999999998</v>
      </c>
    </row>
    <row r="21" spans="1:4" x14ac:dyDescent="0.3">
      <c r="A21" s="193" t="s">
        <v>83</v>
      </c>
      <c r="B21" s="191">
        <v>0.1166</v>
      </c>
      <c r="C21" s="191">
        <v>86.06</v>
      </c>
      <c r="D21" s="192">
        <v>0.3679</v>
      </c>
    </row>
    <row r="22" spans="1:4" x14ac:dyDescent="0.3">
      <c r="A22" s="194" t="s">
        <v>87</v>
      </c>
      <c r="B22" s="195">
        <v>0.11849999999999999</v>
      </c>
      <c r="C22" s="195">
        <v>86.61</v>
      </c>
      <c r="D22" s="196">
        <v>0.37630000000000002</v>
      </c>
    </row>
    <row r="23" spans="1:4" x14ac:dyDescent="0.3">
      <c r="A23" s="187" t="s">
        <v>88</v>
      </c>
      <c r="B23" s="187"/>
      <c r="C23" s="187"/>
      <c r="D23" s="197"/>
    </row>
    <row r="24" spans="1:4" x14ac:dyDescent="0.3">
      <c r="A24" s="190" t="s">
        <v>89</v>
      </c>
      <c r="B24" s="191"/>
      <c r="C24" s="191"/>
      <c r="D24" s="192"/>
    </row>
    <row r="25" spans="1:4" x14ac:dyDescent="0.3">
      <c r="A25" s="193" t="s">
        <v>81</v>
      </c>
      <c r="B25" s="191">
        <v>0.1181</v>
      </c>
      <c r="C25" s="191">
        <v>86.66</v>
      </c>
      <c r="D25" s="192">
        <v>0.37530000000000002</v>
      </c>
    </row>
    <row r="26" spans="1:4" x14ac:dyDescent="0.3">
      <c r="A26" s="193" t="s">
        <v>82</v>
      </c>
      <c r="B26" s="191">
        <v>0.1183</v>
      </c>
      <c r="C26" s="191">
        <v>86.63</v>
      </c>
      <c r="D26" s="192">
        <v>0.37580000000000002</v>
      </c>
    </row>
    <row r="27" spans="1:4" x14ac:dyDescent="0.3">
      <c r="A27" s="193" t="s">
        <v>83</v>
      </c>
      <c r="B27" s="191">
        <v>0.11849999999999999</v>
      </c>
      <c r="C27" s="191">
        <v>86.61</v>
      </c>
      <c r="D27" s="192">
        <v>0.37630000000000002</v>
      </c>
    </row>
    <row r="28" spans="1:4" x14ac:dyDescent="0.3">
      <c r="A28" s="190" t="s">
        <v>90</v>
      </c>
      <c r="B28" s="191"/>
      <c r="C28" s="191"/>
      <c r="D28" s="192"/>
    </row>
    <row r="29" spans="1:4" x14ac:dyDescent="0.3">
      <c r="A29" s="193" t="s">
        <v>81</v>
      </c>
      <c r="B29" s="191">
        <v>0.11550000000000001</v>
      </c>
      <c r="C29" s="191">
        <v>86.5</v>
      </c>
      <c r="D29" s="192">
        <v>0.36630000000000001</v>
      </c>
    </row>
    <row r="30" spans="1:4" x14ac:dyDescent="0.3">
      <c r="A30" s="193" t="s">
        <v>82</v>
      </c>
      <c r="B30" s="191">
        <v>0.11609999999999999</v>
      </c>
      <c r="C30" s="191">
        <v>86.55</v>
      </c>
      <c r="D30" s="192">
        <v>0.36840000000000001</v>
      </c>
    </row>
    <row r="31" spans="1:4" x14ac:dyDescent="0.3">
      <c r="A31" s="193" t="s">
        <v>83</v>
      </c>
      <c r="B31" s="191">
        <v>0.1167</v>
      </c>
      <c r="C31" s="191">
        <v>86.59</v>
      </c>
      <c r="D31" s="192">
        <v>0.3705</v>
      </c>
    </row>
    <row r="32" spans="1:4" x14ac:dyDescent="0.3">
      <c r="A32" s="190" t="s">
        <v>91</v>
      </c>
      <c r="B32" s="191"/>
      <c r="C32" s="191"/>
      <c r="D32" s="192"/>
    </row>
    <row r="33" spans="1:4" x14ac:dyDescent="0.3">
      <c r="A33" s="193" t="s">
        <v>81</v>
      </c>
      <c r="B33" s="191">
        <v>0.1167</v>
      </c>
      <c r="C33" s="191">
        <v>86.13</v>
      </c>
      <c r="D33" s="192">
        <v>0.36859999999999998</v>
      </c>
    </row>
    <row r="34" spans="1:4" x14ac:dyDescent="0.3">
      <c r="A34" s="193" t="s">
        <v>82</v>
      </c>
      <c r="B34" s="191">
        <v>0.11650000000000001</v>
      </c>
      <c r="C34" s="191">
        <v>86.07</v>
      </c>
      <c r="D34" s="192">
        <v>0.36770000000000003</v>
      </c>
    </row>
    <row r="35" spans="1:4" x14ac:dyDescent="0.3">
      <c r="A35" s="193" t="s">
        <v>83</v>
      </c>
      <c r="B35" s="191">
        <v>0.1164</v>
      </c>
      <c r="C35" s="191">
        <v>86</v>
      </c>
      <c r="D35" s="192">
        <v>0.36699999999999999</v>
      </c>
    </row>
    <row r="36" spans="1:4" x14ac:dyDescent="0.3">
      <c r="A36" s="190" t="s">
        <v>92</v>
      </c>
      <c r="B36" s="191"/>
      <c r="C36" s="191"/>
      <c r="D36" s="192"/>
    </row>
    <row r="37" spans="1:4" x14ac:dyDescent="0.3">
      <c r="A37" s="193" t="s">
        <v>81</v>
      </c>
      <c r="B37" s="191">
        <v>0.11650000000000001</v>
      </c>
      <c r="C37" s="191">
        <v>86.05</v>
      </c>
      <c r="D37" s="192">
        <v>0.36759999999999998</v>
      </c>
    </row>
    <row r="38" spans="1:4" x14ac:dyDescent="0.3">
      <c r="A38" s="193" t="s">
        <v>82</v>
      </c>
      <c r="B38" s="191">
        <v>0.11650000000000001</v>
      </c>
      <c r="C38" s="191">
        <v>86.06</v>
      </c>
      <c r="D38" s="192">
        <v>0.36759999999999998</v>
      </c>
    </row>
    <row r="39" spans="1:4" x14ac:dyDescent="0.3">
      <c r="A39" s="193" t="s">
        <v>83</v>
      </c>
      <c r="B39" s="191">
        <v>0.1166</v>
      </c>
      <c r="C39" s="191">
        <v>86.06</v>
      </c>
      <c r="D39" s="192">
        <v>0.3679</v>
      </c>
    </row>
    <row r="40" spans="1:4" x14ac:dyDescent="0.3">
      <c r="A40" s="194" t="s">
        <v>93</v>
      </c>
      <c r="B40" s="195">
        <v>0.11849999999999999</v>
      </c>
      <c r="C40" s="195">
        <v>86.61</v>
      </c>
      <c r="D40" s="196">
        <v>0.37630000000000002</v>
      </c>
    </row>
    <row r="41" spans="1:4" x14ac:dyDescent="0.3">
      <c r="A41" s="187" t="s">
        <v>94</v>
      </c>
      <c r="B41" s="187"/>
      <c r="C41" s="187"/>
      <c r="D41" s="197"/>
    </row>
    <row r="42" spans="1:4" x14ac:dyDescent="0.3">
      <c r="A42" s="193" t="s">
        <v>95</v>
      </c>
      <c r="B42" s="191">
        <v>0.1268</v>
      </c>
      <c r="C42" s="191">
        <v>37.479999999999997</v>
      </c>
      <c r="D42" s="192">
        <v>0.17430000000000001</v>
      </c>
    </row>
    <row r="43" spans="1:4" x14ac:dyDescent="0.3">
      <c r="A43" s="193" t="s">
        <v>96</v>
      </c>
      <c r="B43" s="191">
        <v>0.12570000000000001</v>
      </c>
      <c r="C43" s="191">
        <v>64.819999999999993</v>
      </c>
      <c r="D43" s="192">
        <v>0.29880000000000001</v>
      </c>
    </row>
    <row r="44" spans="1:4" x14ac:dyDescent="0.3">
      <c r="A44" s="193" t="s">
        <v>97</v>
      </c>
      <c r="B44" s="191">
        <v>0.1181</v>
      </c>
      <c r="C44" s="191">
        <v>68.13</v>
      </c>
      <c r="D44" s="192">
        <v>0.29499999999999998</v>
      </c>
    </row>
    <row r="45" spans="1:4" x14ac:dyDescent="0.3">
      <c r="A45" s="193" t="s">
        <v>98</v>
      </c>
      <c r="B45" s="191">
        <v>0.1182</v>
      </c>
      <c r="C45" s="191">
        <v>70.53</v>
      </c>
      <c r="D45" s="192">
        <v>0.30570000000000003</v>
      </c>
    </row>
    <row r="46" spans="1:4" x14ac:dyDescent="0.3">
      <c r="A46" s="193" t="s">
        <v>99</v>
      </c>
      <c r="B46" s="191">
        <v>0.1229</v>
      </c>
      <c r="C46" s="191">
        <v>70.53</v>
      </c>
      <c r="D46" s="192">
        <v>0.31780000000000003</v>
      </c>
    </row>
    <row r="47" spans="1:4" x14ac:dyDescent="0.3">
      <c r="A47" s="194" t="s">
        <v>100</v>
      </c>
      <c r="B47" s="195">
        <v>0.11559999999999999</v>
      </c>
      <c r="C47" s="195">
        <v>70.53</v>
      </c>
      <c r="D47" s="196">
        <v>0.29899999999999999</v>
      </c>
    </row>
    <row r="48" spans="1:4" x14ac:dyDescent="0.3">
      <c r="A48" s="187" t="s">
        <v>101</v>
      </c>
      <c r="B48" s="187"/>
      <c r="C48" s="187"/>
      <c r="D48" s="197"/>
    </row>
    <row r="49" spans="1:4" x14ac:dyDescent="0.3">
      <c r="A49" s="190" t="s">
        <v>102</v>
      </c>
      <c r="B49" s="191"/>
      <c r="C49" s="191"/>
      <c r="D49" s="192"/>
    </row>
    <row r="50" spans="1:4" x14ac:dyDescent="0.3">
      <c r="A50" s="193" t="s">
        <v>103</v>
      </c>
      <c r="B50" s="191">
        <v>0.1346</v>
      </c>
      <c r="C50" s="191">
        <v>86.4</v>
      </c>
      <c r="D50" s="192">
        <v>0.4264</v>
      </c>
    </row>
    <row r="51" spans="1:4" x14ac:dyDescent="0.3">
      <c r="A51" s="193" t="s">
        <v>104</v>
      </c>
      <c r="B51" s="191">
        <v>0.1346</v>
      </c>
      <c r="C51" s="191">
        <v>86.4</v>
      </c>
      <c r="D51" s="192">
        <v>0.4264</v>
      </c>
    </row>
    <row r="52" spans="1:4" x14ac:dyDescent="0.3">
      <c r="A52" s="193" t="s">
        <v>105</v>
      </c>
      <c r="B52" s="191">
        <v>0.1346</v>
      </c>
      <c r="C52" s="191">
        <v>86.4</v>
      </c>
      <c r="D52" s="192">
        <v>0.4264</v>
      </c>
    </row>
    <row r="53" spans="1:4" x14ac:dyDescent="0.3">
      <c r="A53" s="190" t="s">
        <v>106</v>
      </c>
      <c r="B53" s="191"/>
      <c r="C53" s="191"/>
      <c r="D53" s="192"/>
    </row>
    <row r="54" spans="1:4" x14ac:dyDescent="0.3">
      <c r="A54" s="193" t="s">
        <v>103</v>
      </c>
      <c r="B54" s="191">
        <v>0.13420000000000001</v>
      </c>
      <c r="C54" s="191">
        <v>87.3</v>
      </c>
      <c r="D54" s="192">
        <v>0.42959999999999998</v>
      </c>
    </row>
    <row r="55" spans="1:4" x14ac:dyDescent="0.3">
      <c r="A55" s="193" t="s">
        <v>104</v>
      </c>
      <c r="B55" s="191">
        <v>0.13420000000000001</v>
      </c>
      <c r="C55" s="191">
        <v>87.3</v>
      </c>
      <c r="D55" s="192">
        <v>0.42959999999999998</v>
      </c>
    </row>
    <row r="56" spans="1:4" x14ac:dyDescent="0.3">
      <c r="A56" s="193" t="s">
        <v>105</v>
      </c>
      <c r="B56" s="191">
        <v>0.13420000000000001</v>
      </c>
      <c r="C56" s="191">
        <v>87.3</v>
      </c>
      <c r="D56" s="192">
        <v>0.42959999999999998</v>
      </c>
    </row>
    <row r="57" spans="1:4" x14ac:dyDescent="0.3">
      <c r="A57" s="193" t="s">
        <v>31</v>
      </c>
      <c r="B57" s="191">
        <v>0.1452</v>
      </c>
      <c r="C57" s="191">
        <v>86.47</v>
      </c>
      <c r="D57" s="192">
        <v>0.46039999999999998</v>
      </c>
    </row>
    <row r="58" spans="1:4" x14ac:dyDescent="0.3">
      <c r="A58" s="193" t="s">
        <v>107</v>
      </c>
      <c r="B58" s="191">
        <v>0.13650000000000001</v>
      </c>
      <c r="C58" s="191">
        <v>85.67</v>
      </c>
      <c r="D58" s="192">
        <v>0.42880000000000001</v>
      </c>
    </row>
    <row r="59" spans="1:4" x14ac:dyDescent="0.3">
      <c r="A59" s="193" t="s">
        <v>108</v>
      </c>
      <c r="B59" s="191">
        <v>0.15279999999999999</v>
      </c>
      <c r="C59" s="191">
        <v>84.67</v>
      </c>
      <c r="D59" s="192">
        <v>0.47439999999999999</v>
      </c>
    </row>
    <row r="60" spans="1:4" x14ac:dyDescent="0.3">
      <c r="A60" s="193" t="s">
        <v>48</v>
      </c>
      <c r="B60" s="191">
        <v>0.12939999999999999</v>
      </c>
      <c r="C60" s="191">
        <v>86.3</v>
      </c>
      <c r="D60" s="192">
        <v>0.40949999999999998</v>
      </c>
    </row>
    <row r="61" spans="1:4" x14ac:dyDescent="0.3">
      <c r="A61" s="193" t="s">
        <v>35</v>
      </c>
      <c r="B61" s="191">
        <v>0.1346</v>
      </c>
      <c r="C61" s="191">
        <v>86.4</v>
      </c>
      <c r="D61" s="192">
        <v>0.4264</v>
      </c>
    </row>
    <row r="62" spans="1:4" x14ac:dyDescent="0.3">
      <c r="A62" s="194" t="s">
        <v>109</v>
      </c>
      <c r="B62" s="195">
        <v>0.1452</v>
      </c>
      <c r="C62" s="195">
        <v>86.47</v>
      </c>
      <c r="D62" s="196">
        <v>0.46039999999999998</v>
      </c>
    </row>
    <row r="63" spans="1:4" x14ac:dyDescent="0.3">
      <c r="A63" s="187" t="s">
        <v>41</v>
      </c>
      <c r="B63" s="187"/>
      <c r="C63" s="187"/>
      <c r="D63" s="197"/>
    </row>
    <row r="64" spans="1:4" x14ac:dyDescent="0.3">
      <c r="A64" s="193" t="s">
        <v>110</v>
      </c>
      <c r="B64" s="191">
        <v>0.1158</v>
      </c>
      <c r="C64" s="191">
        <v>84.11</v>
      </c>
      <c r="D64" s="192">
        <v>0.35709999999999997</v>
      </c>
    </row>
    <row r="65" spans="1:7" x14ac:dyDescent="0.3">
      <c r="A65" s="194" t="s">
        <v>111</v>
      </c>
      <c r="B65" s="195">
        <v>0.13900000000000001</v>
      </c>
      <c r="C65" s="195">
        <v>87.3</v>
      </c>
      <c r="D65" s="196">
        <v>0.44500000000000001</v>
      </c>
    </row>
    <row r="66" spans="1:7" x14ac:dyDescent="0.3">
      <c r="A66" s="187" t="s">
        <v>43</v>
      </c>
      <c r="B66" s="187"/>
      <c r="C66" s="187"/>
      <c r="D66" s="197"/>
    </row>
    <row r="67" spans="1:7" x14ac:dyDescent="0.3">
      <c r="A67" s="193" t="s">
        <v>44</v>
      </c>
      <c r="B67" s="191">
        <v>0.14760000000000001</v>
      </c>
      <c r="C67" s="191">
        <v>85.8</v>
      </c>
      <c r="D67" s="192">
        <v>0.46429999999999999</v>
      </c>
    </row>
    <row r="68" spans="1:7" x14ac:dyDescent="0.3">
      <c r="A68" s="194" t="s">
        <v>112</v>
      </c>
      <c r="B68" s="195">
        <v>0.16220000000000001</v>
      </c>
      <c r="C68" s="195">
        <v>85.7</v>
      </c>
      <c r="D68" s="196">
        <v>0.50970000000000004</v>
      </c>
    </row>
    <row r="69" spans="1:7" x14ac:dyDescent="0.3">
      <c r="A69" s="188" t="s">
        <v>113</v>
      </c>
      <c r="B69" s="188"/>
      <c r="C69" s="188"/>
      <c r="D69" s="198"/>
    </row>
    <row r="70" spans="1:7" x14ac:dyDescent="0.3">
      <c r="A70" s="193" t="s">
        <v>47</v>
      </c>
      <c r="B70" s="191">
        <v>0.112</v>
      </c>
      <c r="C70" s="191">
        <v>85</v>
      </c>
      <c r="D70" s="192">
        <v>0.34899999999999998</v>
      </c>
    </row>
    <row r="71" spans="1:7" x14ac:dyDescent="0.3">
      <c r="A71" s="193" t="s">
        <v>114</v>
      </c>
      <c r="B71" s="191">
        <v>0.1222</v>
      </c>
      <c r="C71" s="191">
        <v>84.76</v>
      </c>
      <c r="D71" s="192">
        <v>0.37980000000000003</v>
      </c>
    </row>
    <row r="72" spans="1:7" x14ac:dyDescent="0.3">
      <c r="A72" s="193" t="s">
        <v>45</v>
      </c>
      <c r="B72" s="191">
        <v>0.14280000000000001</v>
      </c>
      <c r="C72" s="191">
        <v>85.8</v>
      </c>
      <c r="D72" s="192">
        <v>0.44919999999999999</v>
      </c>
    </row>
    <row r="73" spans="1:7" x14ac:dyDescent="0.3">
      <c r="A73" s="193" t="s">
        <v>115</v>
      </c>
      <c r="B73" s="191">
        <v>0.1285</v>
      </c>
      <c r="C73" s="191">
        <v>85.3</v>
      </c>
      <c r="D73" s="192">
        <v>0.40189999999999998</v>
      </c>
      <c r="G73" t="s">
        <v>16</v>
      </c>
    </row>
    <row r="74" spans="1:7" x14ac:dyDescent="0.3">
      <c r="A74" s="193" t="s">
        <v>52</v>
      </c>
      <c r="B74" s="191">
        <v>0.18179999999999999</v>
      </c>
      <c r="C74" s="191">
        <v>92.28</v>
      </c>
      <c r="D74" s="192">
        <v>0.61509999999999998</v>
      </c>
    </row>
    <row r="75" spans="1:7" x14ac:dyDescent="0.3">
      <c r="A75" s="193" t="s">
        <v>49</v>
      </c>
      <c r="B75" s="191">
        <v>0.16339999999999999</v>
      </c>
      <c r="C75" s="191">
        <v>83.47</v>
      </c>
      <c r="D75" s="192">
        <v>0.50009999999999999</v>
      </c>
    </row>
    <row r="76" spans="1:7" x14ac:dyDescent="0.3">
      <c r="A76" s="193" t="s">
        <v>116</v>
      </c>
      <c r="B76" s="191">
        <v>0.14050000000000001</v>
      </c>
      <c r="C76" s="191">
        <v>77.7</v>
      </c>
      <c r="D76" s="192">
        <v>0.40029999999999999</v>
      </c>
    </row>
    <row r="77" spans="1:7" ht="16.2" x14ac:dyDescent="0.3">
      <c r="A77" s="193" t="s">
        <v>119</v>
      </c>
      <c r="B77" s="191">
        <v>5.79E-2</v>
      </c>
      <c r="C77" s="191">
        <v>79.89</v>
      </c>
      <c r="D77" s="192">
        <v>0.17</v>
      </c>
    </row>
    <row r="78" spans="1:7" ht="16.2" x14ac:dyDescent="0.3">
      <c r="A78" s="193" t="s">
        <v>120</v>
      </c>
      <c r="B78" s="191">
        <v>4.9200000000000001E-2</v>
      </c>
      <c r="C78" s="191">
        <v>85.63</v>
      </c>
      <c r="D78" s="192">
        <v>0.154</v>
      </c>
    </row>
    <row r="79" spans="1:7" ht="16.2" x14ac:dyDescent="0.3">
      <c r="A79" s="193" t="s">
        <v>121</v>
      </c>
      <c r="B79" s="191">
        <v>8.0600000000000005E-2</v>
      </c>
      <c r="C79" s="191">
        <v>81.709999999999994</v>
      </c>
      <c r="D79" s="192">
        <v>0.24099999999999999</v>
      </c>
    </row>
    <row r="80" spans="1:7" ht="16.2" x14ac:dyDescent="0.3">
      <c r="A80" s="193" t="s">
        <v>122</v>
      </c>
      <c r="B80" s="191">
        <v>8.2699999999999996E-2</v>
      </c>
      <c r="C80" s="191">
        <v>85.63</v>
      </c>
      <c r="D80" s="192">
        <v>0.26</v>
      </c>
    </row>
    <row r="81" spans="1:6" ht="16.2" x14ac:dyDescent="0.3">
      <c r="A81" s="193" t="s">
        <v>123</v>
      </c>
      <c r="B81" s="191">
        <v>9.2799999999999994E-2</v>
      </c>
      <c r="C81" s="191">
        <v>82.66</v>
      </c>
      <c r="D81" s="192">
        <v>0.28100000000000003</v>
      </c>
    </row>
    <row r="82" spans="1:6" ht="16.2" x14ac:dyDescent="0.3">
      <c r="A82" s="193" t="s">
        <v>124</v>
      </c>
      <c r="B82" s="191">
        <v>9.7199999999999995E-2</v>
      </c>
      <c r="C82" s="191">
        <v>85.63</v>
      </c>
      <c r="D82" s="192">
        <v>0.30499999999999999</v>
      </c>
    </row>
    <row r="83" spans="1:6" ht="16.2" x14ac:dyDescent="0.3">
      <c r="A83" s="193" t="s">
        <v>125</v>
      </c>
      <c r="B83" s="191">
        <v>8.9200000000000002E-2</v>
      </c>
      <c r="C83" s="191">
        <v>82.66</v>
      </c>
      <c r="D83" s="192">
        <v>0.27</v>
      </c>
    </row>
    <row r="84" spans="1:6" ht="16.2" x14ac:dyDescent="0.3">
      <c r="A84" s="193" t="s">
        <v>126</v>
      </c>
      <c r="B84" s="191">
        <v>9.4899999999999998E-2</v>
      </c>
      <c r="C84" s="191">
        <v>85.63</v>
      </c>
      <c r="D84" s="192">
        <v>0.29799999999999999</v>
      </c>
    </row>
    <row r="85" spans="1:6" x14ac:dyDescent="0.3">
      <c r="A85" s="193" t="s">
        <v>117</v>
      </c>
      <c r="B85" s="191">
        <v>9.3600000000000003E-2</v>
      </c>
      <c r="C85" s="191">
        <v>85.63</v>
      </c>
      <c r="D85" s="192">
        <v>0.29389999999999999</v>
      </c>
    </row>
    <row r="86" spans="1:6" x14ac:dyDescent="0.3">
      <c r="A86" s="193" t="s">
        <v>40</v>
      </c>
      <c r="B86" s="191">
        <v>0.1055</v>
      </c>
      <c r="C86" s="191">
        <v>83.63</v>
      </c>
      <c r="D86" s="192">
        <v>0.32350000000000001</v>
      </c>
    </row>
    <row r="87" spans="1:6" x14ac:dyDescent="0.3">
      <c r="A87" s="194" t="s">
        <v>118</v>
      </c>
      <c r="B87" s="195">
        <v>0.13800000000000001</v>
      </c>
      <c r="C87" s="195">
        <v>85.49</v>
      </c>
      <c r="D87" s="196">
        <v>0.43259999999999998</v>
      </c>
      <c r="F87" t="s">
        <v>16</v>
      </c>
    </row>
    <row r="88" spans="1:6" ht="16.2" x14ac:dyDescent="0.3">
      <c r="A88" s="199" t="s">
        <v>127</v>
      </c>
    </row>
    <row r="89" spans="1:6" ht="16.2" x14ac:dyDescent="0.3">
      <c r="A89" s="199" t="s">
        <v>128</v>
      </c>
    </row>
    <row r="90" spans="1:6" ht="16.2" x14ac:dyDescent="0.3">
      <c r="A90" s="199" t="s">
        <v>129</v>
      </c>
    </row>
    <row r="93" spans="1:6" x14ac:dyDescent="0.3">
      <c r="A93" s="1" t="s">
        <v>140</v>
      </c>
      <c r="D93" s="177" t="s">
        <v>157</v>
      </c>
    </row>
    <row r="94" spans="1:6" x14ac:dyDescent="0.3">
      <c r="A94" s="200"/>
      <c r="B94" s="179" t="s">
        <v>142</v>
      </c>
      <c r="C94" s="201" t="s">
        <v>144</v>
      </c>
      <c r="D94" s="179" t="s">
        <v>77</v>
      </c>
    </row>
    <row r="95" spans="1:6" x14ac:dyDescent="0.3">
      <c r="A95" s="202"/>
      <c r="B95" s="182" t="s">
        <v>143</v>
      </c>
      <c r="C95" s="203" t="s">
        <v>76</v>
      </c>
      <c r="D95" s="182" t="s">
        <v>145</v>
      </c>
    </row>
    <row r="96" spans="1:6" ht="15.6" x14ac:dyDescent="0.35">
      <c r="A96" s="204" t="s">
        <v>141</v>
      </c>
      <c r="B96" s="185" t="s">
        <v>73</v>
      </c>
      <c r="C96" s="204"/>
      <c r="D96" s="185" t="s">
        <v>148</v>
      </c>
    </row>
    <row r="97" spans="1:13" x14ac:dyDescent="0.3">
      <c r="A97" s="205" t="s">
        <v>146</v>
      </c>
      <c r="B97" s="206">
        <v>0.12670000000000001</v>
      </c>
      <c r="C97" s="207">
        <v>52.14</v>
      </c>
      <c r="D97" s="206">
        <v>0.2422</v>
      </c>
    </row>
    <row r="98" spans="1:13" x14ac:dyDescent="0.3">
      <c r="A98" s="205" t="s">
        <v>147</v>
      </c>
      <c r="B98" s="206">
        <v>0.1396</v>
      </c>
      <c r="C98" s="207">
        <v>77.3</v>
      </c>
      <c r="D98" s="208">
        <f>D54</f>
        <v>0.42959999999999998</v>
      </c>
    </row>
    <row r="99" spans="1:13" ht="14.4" customHeight="1" x14ac:dyDescent="0.3">
      <c r="A99" s="205" t="s">
        <v>69</v>
      </c>
      <c r="B99" s="206">
        <v>0.1333</v>
      </c>
      <c r="C99" s="207">
        <v>76.19</v>
      </c>
      <c r="D99" s="206">
        <v>0.37240000000000001</v>
      </c>
      <c r="E99" s="65"/>
      <c r="F99" s="65"/>
      <c r="G99" s="65"/>
      <c r="H99" s="65"/>
      <c r="I99" s="65"/>
      <c r="J99" s="65"/>
      <c r="K99" s="65"/>
      <c r="L99" s="65"/>
      <c r="M99" s="65"/>
    </row>
    <row r="100" spans="1:13" x14ac:dyDescent="0.3">
      <c r="A100" s="209" t="s">
        <v>70</v>
      </c>
      <c r="B100" s="210">
        <v>0.14599999999999999</v>
      </c>
      <c r="C100" s="211">
        <v>76.77</v>
      </c>
      <c r="D100" s="210">
        <v>0.41099999999999998</v>
      </c>
      <c r="E100" s="65"/>
      <c r="F100" s="65"/>
      <c r="G100" s="65"/>
      <c r="H100" s="65"/>
      <c r="I100" s="65"/>
      <c r="J100" s="65"/>
      <c r="K100" s="65"/>
      <c r="L100" s="65"/>
      <c r="M100" s="65"/>
    </row>
    <row r="101" spans="1:13" x14ac:dyDescent="0.3">
      <c r="A101" t="s">
        <v>16</v>
      </c>
      <c r="E101" s="65"/>
      <c r="F101" s="65"/>
      <c r="G101" s="65"/>
      <c r="H101" s="65"/>
      <c r="I101" s="65"/>
      <c r="J101" s="65"/>
      <c r="K101" s="65"/>
      <c r="L101" s="65"/>
      <c r="M101" s="65"/>
    </row>
    <row r="102" spans="1:13" x14ac:dyDescent="0.3">
      <c r="E102" s="65"/>
      <c r="F102" s="65"/>
      <c r="G102" s="65"/>
      <c r="H102" s="65"/>
      <c r="I102" s="65"/>
      <c r="J102" s="65"/>
      <c r="K102" s="65"/>
      <c r="L102" s="65"/>
      <c r="M102" s="65"/>
    </row>
    <row r="103" spans="1:13" x14ac:dyDescent="0.3">
      <c r="A103" s="1" t="s">
        <v>139</v>
      </c>
      <c r="B103" s="177" t="s">
        <v>157</v>
      </c>
      <c r="E103" s="65"/>
      <c r="F103" s="65"/>
      <c r="G103" s="65"/>
      <c r="H103" s="65"/>
      <c r="I103" s="65"/>
      <c r="J103" s="65"/>
      <c r="K103" s="65"/>
      <c r="L103" s="65"/>
      <c r="M103" s="65"/>
    </row>
    <row r="104" spans="1:13" x14ac:dyDescent="0.3">
      <c r="A104" s="256" t="s">
        <v>3</v>
      </c>
      <c r="B104" s="256" t="s">
        <v>164</v>
      </c>
      <c r="C104" s="212"/>
      <c r="E104" s="65"/>
      <c r="F104" s="65"/>
      <c r="G104" s="65"/>
      <c r="H104" s="65"/>
      <c r="I104" s="65"/>
      <c r="J104" s="65"/>
      <c r="K104" s="65"/>
      <c r="L104" s="65"/>
      <c r="M104" s="65"/>
    </row>
    <row r="105" spans="1:13" x14ac:dyDescent="0.3">
      <c r="A105" s="257"/>
      <c r="B105" s="257"/>
      <c r="C105" s="212"/>
      <c r="E105" s="65"/>
      <c r="F105" s="65"/>
      <c r="G105" s="65"/>
      <c r="H105" s="65"/>
      <c r="I105" s="65"/>
      <c r="J105" s="65"/>
      <c r="K105" s="65"/>
      <c r="L105" s="65"/>
      <c r="M105" s="65"/>
    </row>
    <row r="106" spans="1:13" x14ac:dyDescent="0.3">
      <c r="A106" s="258"/>
      <c r="B106" s="258"/>
      <c r="C106" s="212"/>
      <c r="E106" s="65"/>
      <c r="F106" s="65"/>
      <c r="G106" s="65"/>
      <c r="H106" s="65"/>
      <c r="I106" s="65"/>
      <c r="J106" s="65"/>
      <c r="K106" s="65"/>
      <c r="L106" s="65"/>
      <c r="M106" s="65"/>
    </row>
    <row r="107" spans="1:13" x14ac:dyDescent="0.3">
      <c r="A107" s="213" t="s">
        <v>17</v>
      </c>
      <c r="B107" s="214" t="s">
        <v>165</v>
      </c>
      <c r="C107" s="215"/>
      <c r="E107" s="65"/>
      <c r="F107" s="65"/>
      <c r="G107" s="65"/>
      <c r="H107" s="65"/>
      <c r="I107" s="65"/>
      <c r="J107" s="65"/>
      <c r="K107" s="65"/>
      <c r="L107" s="65"/>
      <c r="M107" s="65"/>
    </row>
    <row r="108" spans="1:13" x14ac:dyDescent="0.3">
      <c r="A108" s="216" t="s">
        <v>18</v>
      </c>
      <c r="B108" s="216">
        <v>25.09</v>
      </c>
      <c r="C108" s="215"/>
      <c r="E108" s="65"/>
      <c r="F108" s="65"/>
      <c r="G108" s="65"/>
      <c r="H108" s="65"/>
      <c r="I108" s="65"/>
      <c r="J108" s="65"/>
      <c r="K108" s="65"/>
      <c r="L108" s="65"/>
      <c r="M108" s="65"/>
    </row>
    <row r="109" spans="1:13" x14ac:dyDescent="0.3">
      <c r="A109" s="216" t="s">
        <v>19</v>
      </c>
      <c r="B109" s="216">
        <v>24.93</v>
      </c>
      <c r="C109" s="215"/>
    </row>
    <row r="110" spans="1:13" x14ac:dyDescent="0.3">
      <c r="A110" s="216" t="s">
        <v>20</v>
      </c>
      <c r="B110" s="216">
        <v>17.25</v>
      </c>
      <c r="C110" s="215"/>
    </row>
    <row r="111" spans="1:13" x14ac:dyDescent="0.3">
      <c r="A111" s="216" t="s">
        <v>21</v>
      </c>
      <c r="B111" s="216">
        <v>14.21</v>
      </c>
      <c r="C111" s="215"/>
    </row>
    <row r="112" spans="1:13" x14ac:dyDescent="0.3">
      <c r="A112" s="216" t="s">
        <v>22</v>
      </c>
      <c r="B112" s="216">
        <v>24.8</v>
      </c>
      <c r="C112" s="215"/>
    </row>
    <row r="113" spans="1:7" x14ac:dyDescent="0.3">
      <c r="A113" s="216" t="s">
        <v>23</v>
      </c>
      <c r="B113" s="216">
        <v>21.39</v>
      </c>
      <c r="C113" s="215"/>
    </row>
    <row r="114" spans="1:7" x14ac:dyDescent="0.3">
      <c r="A114" s="216" t="s">
        <v>24</v>
      </c>
      <c r="B114" s="216">
        <v>26.28</v>
      </c>
      <c r="C114" s="215"/>
    </row>
    <row r="115" spans="1:7" x14ac:dyDescent="0.3">
      <c r="A115" s="216" t="s">
        <v>25</v>
      </c>
      <c r="B115" s="216">
        <v>22.35</v>
      </c>
      <c r="C115" s="215"/>
    </row>
    <row r="116" spans="1:7" x14ac:dyDescent="0.3">
      <c r="A116" s="216" t="s">
        <v>26</v>
      </c>
      <c r="B116" s="216">
        <v>19.73</v>
      </c>
      <c r="C116" s="215"/>
    </row>
    <row r="117" spans="1:7" x14ac:dyDescent="0.3">
      <c r="A117" s="217" t="s">
        <v>27</v>
      </c>
      <c r="B117" s="214" t="s">
        <v>166</v>
      </c>
      <c r="C117" s="215"/>
    </row>
    <row r="118" spans="1:7" x14ac:dyDescent="0.3">
      <c r="A118" s="218" t="s">
        <v>167</v>
      </c>
      <c r="B118" s="219">
        <f>1.026*10^-3</f>
        <v>1.026E-3</v>
      </c>
      <c r="C118" s="215"/>
    </row>
    <row r="119" spans="1:7" x14ac:dyDescent="0.3">
      <c r="A119" s="217" t="s">
        <v>28</v>
      </c>
      <c r="B119" s="214" t="s">
        <v>168</v>
      </c>
      <c r="C119" s="215"/>
      <c r="G119" t="s">
        <v>16</v>
      </c>
    </row>
    <row r="120" spans="1:7" x14ac:dyDescent="0.3">
      <c r="A120" s="216" t="s">
        <v>29</v>
      </c>
      <c r="B120" s="216">
        <v>0.13900000000000001</v>
      </c>
      <c r="C120" s="215"/>
    </row>
    <row r="121" spans="1:7" x14ac:dyDescent="0.3">
      <c r="A121" s="216" t="s">
        <v>30</v>
      </c>
      <c r="B121" s="216">
        <v>0.13800000000000001</v>
      </c>
      <c r="C121" s="215"/>
    </row>
    <row r="122" spans="1:7" x14ac:dyDescent="0.3">
      <c r="A122" s="216" t="s">
        <v>31</v>
      </c>
      <c r="B122" s="216">
        <v>0.14599999999999999</v>
      </c>
      <c r="C122" s="215"/>
    </row>
    <row r="123" spans="1:7" x14ac:dyDescent="0.3">
      <c r="A123" s="216" t="s">
        <v>32</v>
      </c>
      <c r="B123" s="216">
        <v>0.14000000000000001</v>
      </c>
      <c r="C123" s="215"/>
    </row>
    <row r="124" spans="1:7" x14ac:dyDescent="0.3">
      <c r="A124" s="216" t="s">
        <v>33</v>
      </c>
      <c r="B124" s="216">
        <v>0.15</v>
      </c>
      <c r="C124" s="215"/>
    </row>
    <row r="125" spans="1:7" x14ac:dyDescent="0.3">
      <c r="A125" s="216" t="s">
        <v>34</v>
      </c>
      <c r="B125" s="216">
        <v>0.13800000000000001</v>
      </c>
      <c r="C125" s="215"/>
    </row>
    <row r="126" spans="1:7" x14ac:dyDescent="0.3">
      <c r="A126" s="216" t="s">
        <v>35</v>
      </c>
      <c r="B126" s="216">
        <v>0.13500000000000001</v>
      </c>
      <c r="C126" s="215"/>
    </row>
    <row r="127" spans="1:7" x14ac:dyDescent="0.3">
      <c r="A127" s="216" t="s">
        <v>137</v>
      </c>
      <c r="B127" s="216">
        <v>9.1999999999999998E-2</v>
      </c>
      <c r="C127" s="215"/>
    </row>
    <row r="128" spans="1:7" x14ac:dyDescent="0.3">
      <c r="A128" s="216" t="s">
        <v>138</v>
      </c>
      <c r="B128" s="216">
        <v>9.0999999999999998E-2</v>
      </c>
      <c r="C128" s="215"/>
    </row>
    <row r="129" spans="1:3" x14ac:dyDescent="0.3">
      <c r="A129" s="216" t="s">
        <v>131</v>
      </c>
      <c r="B129" s="216">
        <v>9.0999999999999998E-2</v>
      </c>
      <c r="C129" s="215"/>
    </row>
    <row r="130" spans="1:3" x14ac:dyDescent="0.3">
      <c r="A130" s="216" t="s">
        <v>132</v>
      </c>
      <c r="B130" s="216">
        <v>6.8000000000000005E-2</v>
      </c>
      <c r="C130" s="215" t="s">
        <v>16</v>
      </c>
    </row>
    <row r="131" spans="1:3" x14ac:dyDescent="0.3">
      <c r="A131" s="216" t="s">
        <v>36</v>
      </c>
      <c r="B131" s="216">
        <v>8.4000000000000005E-2</v>
      </c>
      <c r="C131" s="215"/>
    </row>
    <row r="132" spans="1:3" x14ac:dyDescent="0.3">
      <c r="A132" s="216" t="s">
        <v>133</v>
      </c>
      <c r="B132" s="216">
        <v>5.8000000000000003E-2</v>
      </c>
      <c r="C132" s="215"/>
    </row>
    <row r="133" spans="1:3" x14ac:dyDescent="0.3">
      <c r="A133" s="216" t="s">
        <v>134</v>
      </c>
      <c r="B133" s="216">
        <v>9.9000000000000005E-2</v>
      </c>
      <c r="C133" s="215"/>
    </row>
    <row r="134" spans="1:3" x14ac:dyDescent="0.3">
      <c r="A134" s="216" t="s">
        <v>117</v>
      </c>
      <c r="B134" s="216">
        <v>0.10299999999999999</v>
      </c>
      <c r="C134" s="215"/>
    </row>
    <row r="135" spans="1:3" x14ac:dyDescent="0.3">
      <c r="A135" s="216" t="s">
        <v>135</v>
      </c>
      <c r="B135" s="216">
        <v>0.10299999999999999</v>
      </c>
      <c r="C135" s="215"/>
    </row>
    <row r="136" spans="1:3" x14ac:dyDescent="0.3">
      <c r="A136" s="216" t="s">
        <v>136</v>
      </c>
      <c r="B136" s="216">
        <v>0.105</v>
      </c>
      <c r="C136" s="215"/>
    </row>
    <row r="137" spans="1:3" x14ac:dyDescent="0.3">
      <c r="A137" s="216" t="s">
        <v>37</v>
      </c>
      <c r="B137" s="216">
        <v>0.125</v>
      </c>
      <c r="C137" s="215"/>
    </row>
    <row r="138" spans="1:3" x14ac:dyDescent="0.3">
      <c r="A138" s="216" t="s">
        <v>38</v>
      </c>
      <c r="B138" s="216">
        <v>0.11</v>
      </c>
      <c r="C138" s="215"/>
    </row>
    <row r="139" spans="1:3" x14ac:dyDescent="0.3">
      <c r="A139" s="216" t="s">
        <v>39</v>
      </c>
      <c r="B139" s="216">
        <v>0.13900000000000001</v>
      </c>
      <c r="C139" s="215"/>
    </row>
    <row r="140" spans="1:3" x14ac:dyDescent="0.3">
      <c r="A140" s="216" t="s">
        <v>40</v>
      </c>
      <c r="B140" s="216">
        <v>0.11</v>
      </c>
      <c r="C140" s="215"/>
    </row>
    <row r="141" spans="1:3" x14ac:dyDescent="0.3">
      <c r="A141" s="216" t="s">
        <v>41</v>
      </c>
      <c r="B141" s="216">
        <v>0.125</v>
      </c>
      <c r="C141" s="215"/>
    </row>
    <row r="142" spans="1:3" x14ac:dyDescent="0.3">
      <c r="A142" s="216" t="s">
        <v>42</v>
      </c>
      <c r="B142" s="216">
        <v>0.125</v>
      </c>
      <c r="C142" s="215"/>
    </row>
    <row r="143" spans="1:3" x14ac:dyDescent="0.3">
      <c r="A143" s="216" t="s">
        <v>43</v>
      </c>
      <c r="B143" s="216">
        <v>0.13900000000000001</v>
      </c>
      <c r="C143" s="215"/>
    </row>
    <row r="144" spans="1:3" x14ac:dyDescent="0.3">
      <c r="A144" s="216" t="s">
        <v>44</v>
      </c>
      <c r="B144" s="216">
        <v>0.14799999999999999</v>
      </c>
      <c r="C144" s="215"/>
    </row>
    <row r="145" spans="1:4" x14ac:dyDescent="0.3">
      <c r="A145" s="216" t="s">
        <v>45</v>
      </c>
      <c r="B145" s="216">
        <v>0.14399999999999999</v>
      </c>
      <c r="C145" s="215"/>
    </row>
    <row r="146" spans="1:4" x14ac:dyDescent="0.3">
      <c r="A146" s="216" t="s">
        <v>46</v>
      </c>
      <c r="B146" s="216">
        <v>0.125</v>
      </c>
      <c r="C146" s="215"/>
    </row>
    <row r="147" spans="1:4" x14ac:dyDescent="0.3">
      <c r="A147" s="216" t="s">
        <v>47</v>
      </c>
      <c r="B147" s="216">
        <v>0.12</v>
      </c>
      <c r="C147" s="215"/>
    </row>
    <row r="148" spans="1:4" x14ac:dyDescent="0.3">
      <c r="A148" s="216" t="s">
        <v>48</v>
      </c>
      <c r="B148" s="216">
        <v>0.13500000000000001</v>
      </c>
      <c r="C148" s="215"/>
    </row>
    <row r="149" spans="1:4" x14ac:dyDescent="0.3">
      <c r="A149" s="216" t="s">
        <v>49</v>
      </c>
      <c r="B149" s="216">
        <v>0.158</v>
      </c>
      <c r="C149" s="215"/>
    </row>
    <row r="150" spans="1:4" x14ac:dyDescent="0.3">
      <c r="A150" s="219" t="s">
        <v>50</v>
      </c>
      <c r="B150" s="219">
        <v>1.38E-2</v>
      </c>
      <c r="C150" s="215"/>
    </row>
    <row r="151" spans="1:4" x14ac:dyDescent="0.3">
      <c r="A151" s="217" t="s">
        <v>51</v>
      </c>
      <c r="B151" s="214" t="s">
        <v>165</v>
      </c>
      <c r="C151" s="215"/>
    </row>
    <row r="152" spans="1:4" x14ac:dyDescent="0.3">
      <c r="A152" s="219" t="s">
        <v>52</v>
      </c>
      <c r="B152" s="219">
        <v>30</v>
      </c>
      <c r="C152" s="215" t="s">
        <v>16</v>
      </c>
      <c r="D152" s="220"/>
    </row>
    <row r="153" spans="1:4" x14ac:dyDescent="0.3">
      <c r="A153" s="217" t="s">
        <v>53</v>
      </c>
      <c r="B153" s="214" t="s">
        <v>166</v>
      </c>
      <c r="C153" s="215"/>
    </row>
    <row r="154" spans="1:4" x14ac:dyDescent="0.3">
      <c r="A154" s="219" t="s">
        <v>54</v>
      </c>
      <c r="B154" s="219">
        <f>2.516*10^-3</f>
        <v>2.516E-3</v>
      </c>
      <c r="C154" s="215"/>
    </row>
    <row r="155" spans="1:4" x14ac:dyDescent="0.3">
      <c r="A155" s="217" t="s">
        <v>55</v>
      </c>
      <c r="B155" s="214" t="s">
        <v>165</v>
      </c>
      <c r="C155" s="215"/>
    </row>
    <row r="156" spans="1:4" x14ac:dyDescent="0.3">
      <c r="A156" s="216" t="s">
        <v>56</v>
      </c>
      <c r="B156" s="216">
        <v>9.9499999999999993</v>
      </c>
      <c r="C156" s="215"/>
    </row>
    <row r="157" spans="1:4" x14ac:dyDescent="0.3">
      <c r="A157" s="216" t="s">
        <v>57</v>
      </c>
      <c r="B157" s="216">
        <v>28</v>
      </c>
      <c r="C157" s="215"/>
    </row>
    <row r="158" spans="1:4" x14ac:dyDescent="0.3">
      <c r="A158" s="219" t="s">
        <v>58</v>
      </c>
      <c r="B158" s="219">
        <v>38</v>
      </c>
      <c r="C158" s="215"/>
    </row>
    <row r="159" spans="1:4" x14ac:dyDescent="0.3">
      <c r="A159" s="217" t="s">
        <v>59</v>
      </c>
      <c r="B159" s="214" t="s">
        <v>166</v>
      </c>
      <c r="C159" s="215"/>
    </row>
    <row r="160" spans="1:4" x14ac:dyDescent="0.3">
      <c r="A160" s="216" t="s">
        <v>9</v>
      </c>
      <c r="B160" s="216">
        <f>0.092*10^-3</f>
        <v>9.2E-5</v>
      </c>
      <c r="C160" s="215"/>
    </row>
    <row r="161" spans="1:3" x14ac:dyDescent="0.3">
      <c r="A161" s="216" t="s">
        <v>10</v>
      </c>
      <c r="B161" s="216">
        <f>0.599*10^-3</f>
        <v>5.9900000000000003E-4</v>
      </c>
      <c r="C161" s="215"/>
    </row>
    <row r="162" spans="1:3" x14ac:dyDescent="0.3">
      <c r="A162" s="219" t="s">
        <v>7</v>
      </c>
      <c r="B162" s="219">
        <f>1.388*10^-3</f>
        <v>1.3879999999999999E-3</v>
      </c>
      <c r="C162" s="215"/>
    </row>
    <row r="163" spans="1:3" x14ac:dyDescent="0.3">
      <c r="A163" s="217" t="s">
        <v>60</v>
      </c>
      <c r="B163" s="214" t="s">
        <v>165</v>
      </c>
      <c r="C163" s="215"/>
    </row>
    <row r="164" spans="1:3" x14ac:dyDescent="0.3">
      <c r="A164" s="216" t="s">
        <v>130</v>
      </c>
      <c r="B164" s="216">
        <v>17.48</v>
      </c>
      <c r="C164" s="215"/>
    </row>
    <row r="165" spans="1:3" x14ac:dyDescent="0.3">
      <c r="A165" s="216" t="s">
        <v>61</v>
      </c>
      <c r="B165" s="216">
        <v>8.25</v>
      </c>
      <c r="C165" s="215"/>
    </row>
    <row r="166" spans="1:3" x14ac:dyDescent="0.3">
      <c r="A166" s="216" t="s">
        <v>62</v>
      </c>
      <c r="B166" s="216">
        <v>8</v>
      </c>
      <c r="C166" s="215"/>
    </row>
    <row r="167" spans="1:3" x14ac:dyDescent="0.3">
      <c r="A167" s="219" t="s">
        <v>63</v>
      </c>
      <c r="B167" s="219">
        <v>10.39</v>
      </c>
      <c r="C167" s="215"/>
    </row>
    <row r="168" spans="1:3" x14ac:dyDescent="0.3">
      <c r="A168" s="217" t="s">
        <v>64</v>
      </c>
      <c r="B168" s="214" t="s">
        <v>166</v>
      </c>
      <c r="C168" s="215"/>
    </row>
    <row r="169" spans="1:3" x14ac:dyDescent="0.3">
      <c r="A169" s="216" t="s">
        <v>65</v>
      </c>
      <c r="B169" s="216">
        <f>0.485*10^-3</f>
        <v>4.8499999999999997E-4</v>
      </c>
      <c r="C169" s="215"/>
    </row>
    <row r="170" spans="1:3" x14ac:dyDescent="0.3">
      <c r="A170" s="219" t="s">
        <v>66</v>
      </c>
      <c r="B170" s="219">
        <f>0.655*10^-3</f>
        <v>6.5500000000000009E-4</v>
      </c>
      <c r="C170" s="215"/>
    </row>
    <row r="171" spans="1:3" x14ac:dyDescent="0.3">
      <c r="A171" s="221" t="s">
        <v>67</v>
      </c>
      <c r="B171" s="214" t="s">
        <v>168</v>
      </c>
      <c r="C171" s="215"/>
    </row>
    <row r="172" spans="1:3" x14ac:dyDescent="0.3">
      <c r="A172" s="222" t="s">
        <v>36</v>
      </c>
      <c r="B172" s="216">
        <v>8.4000000000000005E-2</v>
      </c>
      <c r="C172" s="215"/>
    </row>
    <row r="173" spans="1:3" x14ac:dyDescent="0.3">
      <c r="A173" s="222" t="s">
        <v>68</v>
      </c>
      <c r="B173" s="216">
        <v>0.128</v>
      </c>
      <c r="C173" s="215"/>
    </row>
    <row r="174" spans="1:3" x14ac:dyDescent="0.3">
      <c r="A174" s="222" t="s">
        <v>69</v>
      </c>
      <c r="B174" s="216">
        <v>0.125</v>
      </c>
      <c r="C174" s="215"/>
    </row>
    <row r="175" spans="1:3" x14ac:dyDescent="0.3">
      <c r="A175" s="223" t="s">
        <v>70</v>
      </c>
      <c r="B175" s="219">
        <v>0.12</v>
      </c>
      <c r="C175" s="215"/>
    </row>
    <row r="178" spans="1:3" ht="15.6" x14ac:dyDescent="0.35">
      <c r="A178" s="1" t="s">
        <v>15</v>
      </c>
      <c r="C178" s="177" t="s">
        <v>157</v>
      </c>
    </row>
    <row r="179" spans="1:3" ht="31.2" x14ac:dyDescent="0.35">
      <c r="A179" s="224" t="s">
        <v>3</v>
      </c>
      <c r="B179" s="225" t="s">
        <v>150</v>
      </c>
      <c r="C179" s="226" t="s">
        <v>151</v>
      </c>
    </row>
    <row r="180" spans="1:3" x14ac:dyDescent="0.3">
      <c r="A180" s="227" t="s">
        <v>4</v>
      </c>
      <c r="B180" s="228">
        <f>1.1*10^-2</f>
        <v>1.1000000000000001E-2</v>
      </c>
      <c r="C180" s="229">
        <f>1.6*10^-3</f>
        <v>1.6000000000000001E-3</v>
      </c>
    </row>
    <row r="181" spans="1:3" x14ac:dyDescent="0.3">
      <c r="A181" s="227" t="s">
        <v>5</v>
      </c>
      <c r="B181" s="228">
        <f>1 *10^-3</f>
        <v>1E-3</v>
      </c>
      <c r="C181" s="229">
        <f>1*10^-4</f>
        <v>1E-4</v>
      </c>
    </row>
    <row r="182" spans="1:3" x14ac:dyDescent="0.3">
      <c r="A182" s="227" t="s">
        <v>6</v>
      </c>
      <c r="B182" s="228">
        <f>3*10^-3</f>
        <v>3.0000000000000001E-3</v>
      </c>
      <c r="C182" s="229">
        <f>6*10^-4</f>
        <v>6.0000000000000006E-4</v>
      </c>
    </row>
    <row r="183" spans="1:3" x14ac:dyDescent="0.3">
      <c r="A183" s="227" t="s">
        <v>7</v>
      </c>
      <c r="B183" s="228">
        <f>3*10^-3</f>
        <v>3.0000000000000001E-3</v>
      </c>
      <c r="C183" s="229">
        <f>6*10^-4</f>
        <v>6.0000000000000006E-4</v>
      </c>
    </row>
    <row r="184" spans="1:3" x14ac:dyDescent="0.3">
      <c r="A184" s="227" t="s">
        <v>8</v>
      </c>
      <c r="B184" s="228">
        <f>3.2*10^-2</f>
        <v>3.2000000000000001E-2</v>
      </c>
      <c r="C184" s="229">
        <f>4.2*10^-3</f>
        <v>4.2000000000000006E-3</v>
      </c>
    </row>
    <row r="185" spans="1:3" x14ac:dyDescent="0.3">
      <c r="A185" s="227" t="s">
        <v>9</v>
      </c>
      <c r="B185" s="228">
        <f>2.2*10^-5</f>
        <v>2.2000000000000003E-5</v>
      </c>
      <c r="C185" s="229">
        <f>1*10^-4</f>
        <v>1E-4</v>
      </c>
    </row>
    <row r="186" spans="1:3" x14ac:dyDescent="0.3">
      <c r="A186" s="227" t="s">
        <v>10</v>
      </c>
      <c r="B186" s="228">
        <f>4.8*10^-4</f>
        <v>4.8000000000000001E-4</v>
      </c>
      <c r="C186" s="229">
        <f>1*10^-4</f>
        <v>1E-4</v>
      </c>
    </row>
    <row r="187" spans="1:3" x14ac:dyDescent="0.3">
      <c r="A187" s="227" t="s">
        <v>11</v>
      </c>
      <c r="B187" s="228">
        <f>3.2*10^-2</f>
        <v>3.2000000000000001E-2</v>
      </c>
      <c r="C187" s="229">
        <f>4.2*10^-3</f>
        <v>4.2000000000000006E-3</v>
      </c>
    </row>
    <row r="188" spans="1:3" x14ac:dyDescent="0.3">
      <c r="A188" s="227" t="s">
        <v>12</v>
      </c>
      <c r="B188" s="228">
        <f>7.2*10^-3</f>
        <v>7.2000000000000007E-3</v>
      </c>
      <c r="C188" s="229">
        <f>3.6*10^-3</f>
        <v>3.6000000000000003E-3</v>
      </c>
    </row>
    <row r="189" spans="1:3" x14ac:dyDescent="0.3">
      <c r="A189" s="227" t="s">
        <v>13</v>
      </c>
      <c r="B189" s="228">
        <f>3.2*10^-3</f>
        <v>3.2000000000000002E-3</v>
      </c>
      <c r="C189" s="229">
        <f>6.3*10^-4</f>
        <v>6.3000000000000003E-4</v>
      </c>
    </row>
    <row r="190" spans="1:3" x14ac:dyDescent="0.3">
      <c r="A190" s="230" t="s">
        <v>14</v>
      </c>
      <c r="B190" s="231">
        <f>1.1*10^-3</f>
        <v>1.1000000000000001E-3</v>
      </c>
      <c r="C190" s="232">
        <f>1.1*10^-4</f>
        <v>1.1000000000000002E-4</v>
      </c>
    </row>
    <row r="193" spans="1:3" x14ac:dyDescent="0.3">
      <c r="A193" s="1" t="s">
        <v>158</v>
      </c>
      <c r="C193" s="177" t="s">
        <v>157</v>
      </c>
    </row>
    <row r="194" spans="1:3" ht="15.6" x14ac:dyDescent="0.35">
      <c r="A194" s="233" t="s">
        <v>159</v>
      </c>
      <c r="B194" s="234" t="s">
        <v>163</v>
      </c>
      <c r="C194" s="235" t="s">
        <v>162</v>
      </c>
    </row>
    <row r="195" spans="1:3" x14ac:dyDescent="0.3">
      <c r="A195" s="236" t="s">
        <v>160</v>
      </c>
      <c r="B195" s="237">
        <v>20</v>
      </c>
      <c r="C195" s="238">
        <v>20</v>
      </c>
    </row>
    <row r="196" spans="1:3" x14ac:dyDescent="0.3">
      <c r="A196" s="239" t="s">
        <v>186</v>
      </c>
      <c r="B196" s="2">
        <v>2</v>
      </c>
      <c r="C196" s="240">
        <v>1</v>
      </c>
    </row>
    <row r="197" spans="1:3" x14ac:dyDescent="0.3">
      <c r="A197" s="239" t="s">
        <v>36</v>
      </c>
      <c r="B197" s="2">
        <v>37</v>
      </c>
      <c r="C197" s="240">
        <v>27</v>
      </c>
    </row>
    <row r="198" spans="1:3" x14ac:dyDescent="0.3">
      <c r="A198" s="239" t="s">
        <v>161</v>
      </c>
      <c r="B198" s="2">
        <v>2</v>
      </c>
      <c r="C198" s="240">
        <v>1</v>
      </c>
    </row>
    <row r="199" spans="1:3" x14ac:dyDescent="0.3">
      <c r="A199" s="239" t="s">
        <v>94</v>
      </c>
      <c r="B199" s="2">
        <v>13</v>
      </c>
      <c r="C199" s="240">
        <v>3</v>
      </c>
    </row>
    <row r="200" spans="1:3" x14ac:dyDescent="0.3">
      <c r="A200" s="239" t="s">
        <v>112</v>
      </c>
      <c r="B200" s="2">
        <v>18</v>
      </c>
      <c r="C200" s="240">
        <v>4</v>
      </c>
    </row>
    <row r="201" spans="1:3" x14ac:dyDescent="0.3">
      <c r="A201" s="239" t="s">
        <v>115</v>
      </c>
      <c r="B201" s="2">
        <v>17</v>
      </c>
      <c r="C201" s="240">
        <v>3</v>
      </c>
    </row>
    <row r="202" spans="1:3" x14ac:dyDescent="0.3">
      <c r="A202" s="239" t="s">
        <v>188</v>
      </c>
      <c r="B202" s="2">
        <v>19</v>
      </c>
      <c r="C202" s="240">
        <v>4</v>
      </c>
    </row>
    <row r="203" spans="1:3" x14ac:dyDescent="0.3">
      <c r="A203" s="241" t="s">
        <v>187</v>
      </c>
      <c r="B203" s="242">
        <v>17</v>
      </c>
      <c r="C203" s="243">
        <v>3</v>
      </c>
    </row>
    <row r="207" spans="1:3" x14ac:dyDescent="0.3">
      <c r="A207" s="1" t="s">
        <v>171</v>
      </c>
      <c r="B207" s="177" t="s">
        <v>157</v>
      </c>
    </row>
    <row r="208" spans="1:3" x14ac:dyDescent="0.3">
      <c r="A208" s="244" t="s">
        <v>169</v>
      </c>
      <c r="B208" s="244" t="s">
        <v>173</v>
      </c>
    </row>
    <row r="209" spans="1:4" x14ac:dyDescent="0.3">
      <c r="A209" s="245">
        <v>1000</v>
      </c>
      <c r="B209" s="238" t="s">
        <v>170</v>
      </c>
    </row>
    <row r="210" spans="1:4" x14ac:dyDescent="0.3">
      <c r="A210" s="246">
        <f>1/1000</f>
        <v>1E-3</v>
      </c>
      <c r="B210" s="240" t="s">
        <v>181</v>
      </c>
    </row>
    <row r="211" spans="1:4" x14ac:dyDescent="0.3">
      <c r="A211" s="246">
        <v>0.90717999999999999</v>
      </c>
      <c r="B211" s="240" t="s">
        <v>182</v>
      </c>
    </row>
    <row r="212" spans="1:4" x14ac:dyDescent="0.3">
      <c r="A212" s="246">
        <v>42</v>
      </c>
      <c r="B212" s="240" t="s">
        <v>172</v>
      </c>
    </row>
    <row r="213" spans="1:4" ht="16.2" x14ac:dyDescent="0.3">
      <c r="A213" s="246">
        <v>0.15891</v>
      </c>
      <c r="B213" s="240" t="s">
        <v>180</v>
      </c>
    </row>
    <row r="214" spans="1:4" ht="16.2" x14ac:dyDescent="0.3">
      <c r="A214" s="247">
        <v>35.31467</v>
      </c>
      <c r="B214" s="243" t="s">
        <v>183</v>
      </c>
      <c r="C214" t="s">
        <v>16</v>
      </c>
      <c r="D214" t="s">
        <v>16</v>
      </c>
    </row>
    <row r="215" spans="1:4" x14ac:dyDescent="0.3">
      <c r="D215" t="s">
        <v>16</v>
      </c>
    </row>
    <row r="217" spans="1:4" x14ac:dyDescent="0.3">
      <c r="A217" s="1" t="s">
        <v>174</v>
      </c>
      <c r="B217" s="177" t="s">
        <v>157</v>
      </c>
    </row>
    <row r="218" spans="1:4" x14ac:dyDescent="0.3">
      <c r="A218" s="233" t="s">
        <v>175</v>
      </c>
      <c r="B218" s="235" t="s">
        <v>176</v>
      </c>
    </row>
    <row r="219" spans="1:4" ht="15.6" x14ac:dyDescent="0.35">
      <c r="A219" s="236" t="s">
        <v>177</v>
      </c>
      <c r="B219" s="238">
        <v>1</v>
      </c>
    </row>
    <row r="220" spans="1:4" ht="15.6" x14ac:dyDescent="0.35">
      <c r="A220" s="239" t="s">
        <v>178</v>
      </c>
      <c r="B220" s="240">
        <v>25</v>
      </c>
    </row>
    <row r="221" spans="1:4" ht="15.6" x14ac:dyDescent="0.35">
      <c r="A221" s="241" t="s">
        <v>179</v>
      </c>
      <c r="B221" s="243">
        <v>298</v>
      </c>
    </row>
  </sheetData>
  <sheetProtection algorithmName="SHA-512" hashValue="N51yvPk4+E3NXIVMLEeIpIZLDZHhEhY3JKxp/rL732Eq6FiwGHaCWs/ls9PlLTKQAK5qfIO6N8DnbhLUy7o0Bg==" saltValue="IXqQCArz/tQT22YPMzEjWQ==" spinCount="100000" sheet="1" objects="1" scenarios="1"/>
  <mergeCells count="2">
    <mergeCell ref="A104:A106"/>
    <mergeCell ref="B104:B106"/>
  </mergeCells>
  <hyperlinks>
    <hyperlink ref="D1" location="'Aggregate products'!A1" display="Back to Aggregate products" xr:uid="{00000000-0004-0000-0200-000000000000}"/>
    <hyperlink ref="D93" location="'Aggregate products'!A1" display="Back to Aggregate products" xr:uid="{00000000-0004-0000-0200-000001000000}"/>
    <hyperlink ref="C178" location="'Aggregate products'!A1" display="Back to Aggregate products" xr:uid="{00000000-0004-0000-0200-000002000000}"/>
    <hyperlink ref="B103" location="'Aggregate products'!A1" display="Back to Aggregate products" xr:uid="{00000000-0004-0000-0200-000003000000}"/>
    <hyperlink ref="C193" location="'Aggregate products'!A1" display="Back to Aggregate products" xr:uid="{00000000-0004-0000-0200-000004000000}"/>
    <hyperlink ref="B207" location="'Aggregate products'!A1" display="Back to Aggregate products" xr:uid="{00000000-0004-0000-0200-000005000000}"/>
    <hyperlink ref="B217" location="'Aggregate products'!A1" display="Back to Aggregate products" xr:uid="{00000000-0004-0000-0200-000006000000}"/>
  </hyperlink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6"/>
  <sheetViews>
    <sheetView zoomScale="81" zoomScaleNormal="150" workbookViewId="0">
      <selection activeCell="B12" sqref="B12"/>
    </sheetView>
  </sheetViews>
  <sheetFormatPr defaultRowHeight="14.4" x14ac:dyDescent="0.3"/>
  <cols>
    <col min="1" max="1" width="22.33203125" customWidth="1"/>
  </cols>
  <sheetData>
    <row r="1" spans="1:33" ht="15" thickBot="1" x14ac:dyDescent="0.35">
      <c r="A1" s="1" t="s">
        <v>215</v>
      </c>
      <c r="B1" s="1">
        <f>'Start here'!$B$20</f>
        <v>0</v>
      </c>
      <c r="U1" s="259" t="s">
        <v>279</v>
      </c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</row>
    <row r="2" spans="1:33" ht="15" thickBot="1" x14ac:dyDescent="0.35">
      <c r="A2" s="1" t="s">
        <v>216</v>
      </c>
      <c r="B2" s="1">
        <f>'Start here'!$B$21</f>
        <v>0</v>
      </c>
      <c r="N2" s="7" t="s">
        <v>250</v>
      </c>
      <c r="Q2" t="s">
        <v>277</v>
      </c>
      <c r="U2" s="41" t="s">
        <v>280</v>
      </c>
      <c r="V2" s="42" t="s">
        <v>281</v>
      </c>
      <c r="W2" s="42" t="s">
        <v>282</v>
      </c>
      <c r="X2" s="42" t="s">
        <v>283</v>
      </c>
      <c r="Y2" s="42" t="s">
        <v>284</v>
      </c>
      <c r="Z2" s="42" t="s">
        <v>285</v>
      </c>
      <c r="AA2" s="42" t="s">
        <v>286</v>
      </c>
      <c r="AB2" s="42" t="s">
        <v>287</v>
      </c>
      <c r="AC2" s="42" t="s">
        <v>288</v>
      </c>
      <c r="AD2" s="42" t="s">
        <v>289</v>
      </c>
      <c r="AE2" s="42" t="s">
        <v>290</v>
      </c>
      <c r="AF2" s="42" t="s">
        <v>291</v>
      </c>
      <c r="AG2" s="43" t="s">
        <v>292</v>
      </c>
    </row>
    <row r="3" spans="1:33" x14ac:dyDescent="0.3">
      <c r="A3" s="1" t="s">
        <v>244</v>
      </c>
      <c r="B3" s="1" t="str">
        <f ca="1">IF(COUNTIF($B$8:$B$29,"Fail")&gt;0,"Fail","Pass")</f>
        <v>Fail</v>
      </c>
      <c r="N3" s="6">
        <f>'Aggregate products'!AE3</f>
        <v>0</v>
      </c>
      <c r="O3" t="str">
        <f>LEFT(N3,5)</f>
        <v>0</v>
      </c>
      <c r="Q3" s="36" t="str">
        <f>IF('Aggregate products'!D4+'Aggregate products'!E4&lt;'Aggregate products'!G4, "Error", "")</f>
        <v/>
      </c>
      <c r="U3" s="37" t="b">
        <f ca="1">ISNUMBER(SEARCH(".xls",_xlfn.FORMULATEXT('Aggregate products'!C4)))</f>
        <v>0</v>
      </c>
      <c r="V3" t="b">
        <f ca="1">ISNUMBER(SEARCH(".xls",_xlfn.FORMULATEXT('Aggregate products'!D4)))</f>
        <v>0</v>
      </c>
      <c r="W3" t="b">
        <f ca="1">ISNUMBER(SEARCH(".xls",_xlfn.FORMULATEXT('Aggregate products'!E4)))</f>
        <v>0</v>
      </c>
      <c r="X3" t="b">
        <f ca="1">ISNUMBER(SEARCH(".xls",_xlfn.FORMULATEXT('Aggregate products'!F4)))</f>
        <v>0</v>
      </c>
      <c r="Y3" t="b">
        <f ca="1">ISNUMBER(SEARCH(".xls",_xlfn.FORMULATEXT('Aggregate products'!G4)))</f>
        <v>0</v>
      </c>
      <c r="Z3" t="b">
        <f ca="1">ISNUMBER(SEARCH(".xls",_xlfn.FORMULATEXT('Aggregate products'!H4)))</f>
        <v>0</v>
      </c>
      <c r="AA3" t="b">
        <f ca="1">ISNUMBER(SEARCH(".xls",_xlfn.FORMULATEXT('Aggregate products'!I4)))</f>
        <v>0</v>
      </c>
      <c r="AB3" t="b">
        <f ca="1">ISNUMBER(SEARCH(".xls",_xlfn.FORMULATEXT('Aggregate products'!J4)))</f>
        <v>0</v>
      </c>
      <c r="AC3" t="b">
        <f ca="1">ISNUMBER(SEARCH(".xls",_xlfn.FORMULATEXT('Aggregate products'!K4)))</f>
        <v>0</v>
      </c>
      <c r="AD3" t="b">
        <f ca="1">ISNUMBER(SEARCH(".xls",_xlfn.FORMULATEXT('Aggregate products'!L4)))</f>
        <v>0</v>
      </c>
      <c r="AE3" t="b">
        <f ca="1">ISNUMBER(SEARCH(".xls",_xlfn.FORMULATEXT('Aggregate products'!M4)))</f>
        <v>0</v>
      </c>
      <c r="AF3" t="b">
        <f ca="1">ISNUMBER(SEARCH(".xls",_xlfn.FORMULATEXT('Aggregate products'!N4)))</f>
        <v>0</v>
      </c>
      <c r="AG3" s="38" t="b">
        <f ca="1">ISNUMBER(SEARCH(".xls",_xlfn.FORMULATEXT('Aggregate products'!O4)))</f>
        <v>0</v>
      </c>
    </row>
    <row r="4" spans="1:33" x14ac:dyDescent="0.3">
      <c r="A4" s="1" t="s">
        <v>257</v>
      </c>
      <c r="B4" s="1" t="s">
        <v>258</v>
      </c>
      <c r="N4" s="6" t="str">
        <f>'Aggregate products'!AE4</f>
        <v/>
      </c>
      <c r="O4" t="str">
        <f t="shared" ref="O4:O74" si="0">LEFT(N4,5)</f>
        <v/>
      </c>
      <c r="Q4" s="36" t="str">
        <f>IF('Aggregate products'!D5+'Aggregate products'!E5&lt;'Aggregate products'!G5, "Error", "")</f>
        <v/>
      </c>
      <c r="U4" s="37" t="b">
        <f ca="1">ISNUMBER(SEARCH(".xls",_xlfn.FORMULATEXT('Aggregate products'!C5)))</f>
        <v>0</v>
      </c>
      <c r="V4" t="b">
        <f ca="1">ISNUMBER(SEARCH(".xls",_xlfn.FORMULATEXT('Aggregate products'!D5)))</f>
        <v>0</v>
      </c>
      <c r="W4" t="b">
        <f ca="1">ISNUMBER(SEARCH(".xls",_xlfn.FORMULATEXT('Aggregate products'!E5)))</f>
        <v>0</v>
      </c>
      <c r="X4" t="b">
        <f ca="1">ISNUMBER(SEARCH(".xls",_xlfn.FORMULATEXT('Aggregate products'!F5)))</f>
        <v>0</v>
      </c>
      <c r="Y4" t="b">
        <f ca="1">ISNUMBER(SEARCH(".xls",_xlfn.FORMULATEXT('Aggregate products'!G5)))</f>
        <v>0</v>
      </c>
      <c r="Z4" t="b">
        <f ca="1">ISNUMBER(SEARCH(".xls",_xlfn.FORMULATEXT('Aggregate products'!H5)))</f>
        <v>0</v>
      </c>
      <c r="AA4" t="b">
        <f ca="1">ISNUMBER(SEARCH(".xls",_xlfn.FORMULATEXT('Aggregate products'!I5)))</f>
        <v>0</v>
      </c>
      <c r="AB4" t="b">
        <f ca="1">ISNUMBER(SEARCH(".xls",_xlfn.FORMULATEXT('Aggregate products'!J5)))</f>
        <v>0</v>
      </c>
      <c r="AC4" t="b">
        <f ca="1">ISNUMBER(SEARCH(".xls",_xlfn.FORMULATEXT('Aggregate products'!K5)))</f>
        <v>0</v>
      </c>
      <c r="AD4" t="b">
        <f ca="1">ISNUMBER(SEARCH(".xls",_xlfn.FORMULATEXT('Aggregate products'!L5)))</f>
        <v>0</v>
      </c>
      <c r="AE4" t="b">
        <f ca="1">ISNUMBER(SEARCH(".xls",_xlfn.FORMULATEXT('Aggregate products'!M5)))</f>
        <v>0</v>
      </c>
      <c r="AF4" t="b">
        <f ca="1">ISNUMBER(SEARCH(".xls",_xlfn.FORMULATEXT('Aggregate products'!N5)))</f>
        <v>0</v>
      </c>
      <c r="AG4" s="38" t="b">
        <f ca="1">ISNUMBER(SEARCH(".xls",_xlfn.FORMULATEXT('Aggregate products'!O5)))</f>
        <v>0</v>
      </c>
    </row>
    <row r="5" spans="1:33" x14ac:dyDescent="0.3">
      <c r="A5" s="1" t="s">
        <v>1</v>
      </c>
      <c r="B5" s="52" t="str">
        <f>'Start here'!$E$2</f>
        <v>Version 3.0</v>
      </c>
      <c r="N5" s="6"/>
      <c r="Q5" s="36" t="str">
        <f>IF('Aggregate products'!D6+'Aggregate products'!E6&lt;'Aggregate products'!G6, "Error", "")</f>
        <v/>
      </c>
      <c r="U5" s="37" t="b">
        <f ca="1">ISNUMBER(SEARCH(".xls",_xlfn.FORMULATEXT('Aggregate products'!C6)))</f>
        <v>0</v>
      </c>
      <c r="V5" t="b">
        <f ca="1">ISNUMBER(SEARCH(".xls",_xlfn.FORMULATEXT('Aggregate products'!D6)))</f>
        <v>0</v>
      </c>
      <c r="W5" t="b">
        <f ca="1">ISNUMBER(SEARCH(".xls",_xlfn.FORMULATEXT('Aggregate products'!E6)))</f>
        <v>0</v>
      </c>
      <c r="X5" t="b">
        <f ca="1">ISNUMBER(SEARCH(".xls",_xlfn.FORMULATEXT('Aggregate products'!F6)))</f>
        <v>0</v>
      </c>
      <c r="Y5" t="b">
        <f ca="1">ISNUMBER(SEARCH(".xls",_xlfn.FORMULATEXT('Aggregate products'!G6)))</f>
        <v>0</v>
      </c>
      <c r="Z5" t="b">
        <f ca="1">ISNUMBER(SEARCH(".xls",_xlfn.FORMULATEXT('Aggregate products'!H6)))</f>
        <v>0</v>
      </c>
      <c r="AA5" t="b">
        <f ca="1">ISNUMBER(SEARCH(".xls",_xlfn.FORMULATEXT('Aggregate products'!I6)))</f>
        <v>0</v>
      </c>
      <c r="AB5" t="b">
        <f ca="1">ISNUMBER(SEARCH(".xls",_xlfn.FORMULATEXT('Aggregate products'!J6)))</f>
        <v>0</v>
      </c>
      <c r="AC5" t="b">
        <f ca="1">ISNUMBER(SEARCH(".xls",_xlfn.FORMULATEXT('Aggregate products'!K6)))</f>
        <v>0</v>
      </c>
      <c r="AD5" t="b">
        <f ca="1">ISNUMBER(SEARCH(".xls",_xlfn.FORMULATEXT('Aggregate products'!L6)))</f>
        <v>0</v>
      </c>
      <c r="AE5" t="b">
        <f ca="1">ISNUMBER(SEARCH(".xls",_xlfn.FORMULATEXT('Aggregate products'!M6)))</f>
        <v>0</v>
      </c>
      <c r="AF5" t="b">
        <f ca="1">ISNUMBER(SEARCH(".xls",_xlfn.FORMULATEXT('Aggregate products'!N6)))</f>
        <v>0</v>
      </c>
      <c r="AG5" s="38" t="b">
        <f ca="1">ISNUMBER(SEARCH(".xls",_xlfn.FORMULATEXT('Aggregate products'!O6)))</f>
        <v>0</v>
      </c>
    </row>
    <row r="6" spans="1:33" x14ac:dyDescent="0.3">
      <c r="N6" s="6" t="str">
        <f>'Aggregate products'!AE5</f>
        <v/>
      </c>
      <c r="O6" t="str">
        <f t="shared" si="0"/>
        <v/>
      </c>
      <c r="Q6" s="36" t="str">
        <f>IF('Aggregate products'!D7+'Aggregate products'!E7&lt;'Aggregate products'!G7, "Error", "")</f>
        <v/>
      </c>
      <c r="U6" s="37" t="b">
        <f ca="1">ISNUMBER(SEARCH(".xls",_xlfn.FORMULATEXT('Aggregate products'!C7)))</f>
        <v>0</v>
      </c>
      <c r="V6" t="b">
        <f ca="1">ISNUMBER(SEARCH(".xls",_xlfn.FORMULATEXT('Aggregate products'!D7)))</f>
        <v>0</v>
      </c>
      <c r="W6" t="b">
        <f ca="1">ISNUMBER(SEARCH(".xls",_xlfn.FORMULATEXT('Aggregate products'!E7)))</f>
        <v>0</v>
      </c>
      <c r="X6" t="b">
        <f ca="1">ISNUMBER(SEARCH(".xls",_xlfn.FORMULATEXT('Aggregate products'!F7)))</f>
        <v>0</v>
      </c>
      <c r="Y6" t="b">
        <f ca="1">ISNUMBER(SEARCH(".xls",_xlfn.FORMULATEXT('Aggregate products'!G7)))</f>
        <v>0</v>
      </c>
      <c r="Z6" t="b">
        <f ca="1">ISNUMBER(SEARCH(".xls",_xlfn.FORMULATEXT('Aggregate products'!H7)))</f>
        <v>0</v>
      </c>
      <c r="AA6" t="b">
        <f ca="1">ISNUMBER(SEARCH(".xls",_xlfn.FORMULATEXT('Aggregate products'!I7)))</f>
        <v>0</v>
      </c>
      <c r="AB6" t="b">
        <f ca="1">ISNUMBER(SEARCH(".xls",_xlfn.FORMULATEXT('Aggregate products'!J7)))</f>
        <v>0</v>
      </c>
      <c r="AC6" t="b">
        <f ca="1">ISNUMBER(SEARCH(".xls",_xlfn.FORMULATEXT('Aggregate products'!K7)))</f>
        <v>0</v>
      </c>
      <c r="AD6" t="b">
        <f ca="1">ISNUMBER(SEARCH(".xls",_xlfn.FORMULATEXT('Aggregate products'!L7)))</f>
        <v>0</v>
      </c>
      <c r="AE6" t="b">
        <f ca="1">ISNUMBER(SEARCH(".xls",_xlfn.FORMULATEXT('Aggregate products'!M7)))</f>
        <v>0</v>
      </c>
      <c r="AF6" t="b">
        <f ca="1">ISNUMBER(SEARCH(".xls",_xlfn.FORMULATEXT('Aggregate products'!N7)))</f>
        <v>0</v>
      </c>
      <c r="AG6" s="38" t="b">
        <f ca="1">ISNUMBER(SEARCH(".xls",_xlfn.FORMULATEXT('Aggregate products'!O7)))</f>
        <v>0</v>
      </c>
    </row>
    <row r="7" spans="1:33" x14ac:dyDescent="0.3">
      <c r="A7" s="1" t="s">
        <v>249</v>
      </c>
      <c r="N7" s="6" t="str">
        <f>'Aggregate products'!AE6</f>
        <v/>
      </c>
      <c r="O7" t="str">
        <f t="shared" si="0"/>
        <v/>
      </c>
      <c r="Q7" s="36" t="str">
        <f>IF('Aggregate products'!D8+'Aggregate products'!E8&lt;'Aggregate products'!G8, "Error", "")</f>
        <v/>
      </c>
      <c r="U7" s="37" t="b">
        <f ca="1">ISNUMBER(SEARCH(".xls",_xlfn.FORMULATEXT('Aggregate products'!C8)))</f>
        <v>0</v>
      </c>
      <c r="V7" t="b">
        <f ca="1">ISNUMBER(SEARCH(".xls",_xlfn.FORMULATEXT('Aggregate products'!D8)))</f>
        <v>0</v>
      </c>
      <c r="W7" t="b">
        <f ca="1">ISNUMBER(SEARCH(".xls",_xlfn.FORMULATEXT('Aggregate products'!E8)))</f>
        <v>0</v>
      </c>
      <c r="X7" t="b">
        <f ca="1">ISNUMBER(SEARCH(".xls",_xlfn.FORMULATEXT('Aggregate products'!F8)))</f>
        <v>0</v>
      </c>
      <c r="Y7" t="b">
        <f ca="1">ISNUMBER(SEARCH(".xls",_xlfn.FORMULATEXT('Aggregate products'!G8)))</f>
        <v>0</v>
      </c>
      <c r="Z7" t="b">
        <f ca="1">ISNUMBER(SEARCH(".xls",_xlfn.FORMULATEXT('Aggregate products'!H8)))</f>
        <v>0</v>
      </c>
      <c r="AA7" t="b">
        <f ca="1">ISNUMBER(SEARCH(".xls",_xlfn.FORMULATEXT('Aggregate products'!I8)))</f>
        <v>0</v>
      </c>
      <c r="AB7" t="b">
        <f ca="1">ISNUMBER(SEARCH(".xls",_xlfn.FORMULATEXT('Aggregate products'!J8)))</f>
        <v>0</v>
      </c>
      <c r="AC7" t="b">
        <f ca="1">ISNUMBER(SEARCH(".xls",_xlfn.FORMULATEXT('Aggregate products'!K8)))</f>
        <v>0</v>
      </c>
      <c r="AD7" t="b">
        <f ca="1">ISNUMBER(SEARCH(".xls",_xlfn.FORMULATEXT('Aggregate products'!L8)))</f>
        <v>0</v>
      </c>
      <c r="AE7" t="b">
        <f ca="1">ISNUMBER(SEARCH(".xls",_xlfn.FORMULATEXT('Aggregate products'!M8)))</f>
        <v>0</v>
      </c>
      <c r="AF7" t="b">
        <f ca="1">ISNUMBER(SEARCH(".xls",_xlfn.FORMULATEXT('Aggregate products'!N8)))</f>
        <v>0</v>
      </c>
      <c r="AG7" s="38" t="b">
        <f ca="1">ISNUMBER(SEARCH(".xls",_xlfn.FORMULATEXT('Aggregate products'!O8)))</f>
        <v>0</v>
      </c>
    </row>
    <row r="8" spans="1:33" x14ac:dyDescent="0.3">
      <c r="A8" t="s">
        <v>245</v>
      </c>
      <c r="N8" s="6" t="str">
        <f>'Aggregate products'!AE7</f>
        <v/>
      </c>
      <c r="O8" t="str">
        <f t="shared" si="0"/>
        <v/>
      </c>
      <c r="Q8" s="36" t="str">
        <f>IF('Aggregate products'!D9+'Aggregate products'!E9&lt;'Aggregate products'!G9, "Error", "")</f>
        <v/>
      </c>
      <c r="U8" s="37" t="b">
        <f ca="1">ISNUMBER(SEARCH(".xls",_xlfn.FORMULATEXT('Aggregate products'!C9)))</f>
        <v>0</v>
      </c>
      <c r="V8" t="b">
        <f ca="1">ISNUMBER(SEARCH(".xls",_xlfn.FORMULATEXT('Aggregate products'!D9)))</f>
        <v>0</v>
      </c>
      <c r="W8" t="b">
        <f ca="1">ISNUMBER(SEARCH(".xls",_xlfn.FORMULATEXT('Aggregate products'!E9)))</f>
        <v>0</v>
      </c>
      <c r="X8" t="b">
        <f ca="1">ISNUMBER(SEARCH(".xls",_xlfn.FORMULATEXT('Aggregate products'!F9)))</f>
        <v>0</v>
      </c>
      <c r="Y8" t="b">
        <f ca="1">ISNUMBER(SEARCH(".xls",_xlfn.FORMULATEXT('Aggregate products'!G9)))</f>
        <v>0</v>
      </c>
      <c r="Z8" t="b">
        <f ca="1">ISNUMBER(SEARCH(".xls",_xlfn.FORMULATEXT('Aggregate products'!H9)))</f>
        <v>0</v>
      </c>
      <c r="AA8" t="b">
        <f ca="1">ISNUMBER(SEARCH(".xls",_xlfn.FORMULATEXT('Aggregate products'!I9)))</f>
        <v>0</v>
      </c>
      <c r="AB8" t="b">
        <f ca="1">ISNUMBER(SEARCH(".xls",_xlfn.FORMULATEXT('Aggregate products'!J9)))</f>
        <v>0</v>
      </c>
      <c r="AC8" t="b">
        <f ca="1">ISNUMBER(SEARCH(".xls",_xlfn.FORMULATEXT('Aggregate products'!K9)))</f>
        <v>0</v>
      </c>
      <c r="AD8" t="b">
        <f ca="1">ISNUMBER(SEARCH(".xls",_xlfn.FORMULATEXT('Aggregate products'!L9)))</f>
        <v>0</v>
      </c>
      <c r="AE8" t="b">
        <f ca="1">ISNUMBER(SEARCH(".xls",_xlfn.FORMULATEXT('Aggregate products'!M9)))</f>
        <v>0</v>
      </c>
      <c r="AF8" t="b">
        <f ca="1">ISNUMBER(SEARCH(".xls",_xlfn.FORMULATEXT('Aggregate products'!N9)))</f>
        <v>0</v>
      </c>
      <c r="AG8" s="38" t="b">
        <f ca="1">ISNUMBER(SEARCH(".xls",_xlfn.FORMULATEXT('Aggregate products'!O9)))</f>
        <v>0</v>
      </c>
    </row>
    <row r="9" spans="1:33" x14ac:dyDescent="0.3">
      <c r="A9" s="4" t="s">
        <v>246</v>
      </c>
      <c r="B9" t="str">
        <f>IF(OR('Start here'!B19="",'Start here'!B20="",'Start here'!B21="",'Start here'!B22="",'Start here'!B23="",'Start here'!B24="",'Start here'!A30="",'Start here'!B30="",'Start here'!C30="",'Start here'!D30="",'Start here'!E30="",'Start here'!F30="",'Start here'!B38="",'Start here'!B41="", 'Start here'!B43="", 'Start here'!B47="", 'Start here'!B48="", 'Start here'!B49=""),"Fail","Pass")</f>
        <v>Fail</v>
      </c>
      <c r="N9" s="6" t="str">
        <f>'Aggregate products'!AE8</f>
        <v/>
      </c>
      <c r="O9" t="str">
        <f t="shared" si="0"/>
        <v/>
      </c>
      <c r="Q9" s="36" t="str">
        <f>IF('Aggregate products'!D10+'Aggregate products'!E10&lt;'Aggregate products'!G10, "Error", "")</f>
        <v/>
      </c>
      <c r="U9" s="37" t="b">
        <f ca="1">ISNUMBER(SEARCH(".xls",_xlfn.FORMULATEXT('Aggregate products'!C10)))</f>
        <v>0</v>
      </c>
      <c r="V9" t="b">
        <f ca="1">ISNUMBER(SEARCH(".xls",_xlfn.FORMULATEXT('Aggregate products'!D10)))</f>
        <v>0</v>
      </c>
      <c r="W9" t="b">
        <f ca="1">ISNUMBER(SEARCH(".xls",_xlfn.FORMULATEXT('Aggregate products'!E10)))</f>
        <v>0</v>
      </c>
      <c r="X9" t="b">
        <f ca="1">ISNUMBER(SEARCH(".xls",_xlfn.FORMULATEXT('Aggregate products'!F10)))</f>
        <v>0</v>
      </c>
      <c r="Y9" t="b">
        <f ca="1">ISNUMBER(SEARCH(".xls",_xlfn.FORMULATEXT('Aggregate products'!G10)))</f>
        <v>0</v>
      </c>
      <c r="Z9" t="b">
        <f ca="1">ISNUMBER(SEARCH(".xls",_xlfn.FORMULATEXT('Aggregate products'!H10)))</f>
        <v>0</v>
      </c>
      <c r="AA9" t="b">
        <f ca="1">ISNUMBER(SEARCH(".xls",_xlfn.FORMULATEXT('Aggregate products'!I10)))</f>
        <v>0</v>
      </c>
      <c r="AB9" t="b">
        <f ca="1">ISNUMBER(SEARCH(".xls",_xlfn.FORMULATEXT('Aggregate products'!J10)))</f>
        <v>0</v>
      </c>
      <c r="AC9" t="b">
        <f ca="1">ISNUMBER(SEARCH(".xls",_xlfn.FORMULATEXT('Aggregate products'!K10)))</f>
        <v>0</v>
      </c>
      <c r="AD9" t="b">
        <f ca="1">ISNUMBER(SEARCH(".xls",_xlfn.FORMULATEXT('Aggregate products'!L10)))</f>
        <v>0</v>
      </c>
      <c r="AE9" t="b">
        <f ca="1">ISNUMBER(SEARCH(".xls",_xlfn.FORMULATEXT('Aggregate products'!M10)))</f>
        <v>0</v>
      </c>
      <c r="AF9" t="b">
        <f ca="1">ISNUMBER(SEARCH(".xls",_xlfn.FORMULATEXT('Aggregate products'!N10)))</f>
        <v>0</v>
      </c>
      <c r="AG9" s="38" t="b">
        <f ca="1">ISNUMBER(SEARCH(".xls",_xlfn.FORMULATEXT('Aggregate products'!O10)))</f>
        <v>0</v>
      </c>
    </row>
    <row r="10" spans="1:33" x14ac:dyDescent="0.3">
      <c r="A10" s="4" t="s">
        <v>243</v>
      </c>
      <c r="B10" s="5" t="str">
        <f>IF(SUM('Start here'!$F$30:$F$35)=1,"Pass","Fail")</f>
        <v>Fail</v>
      </c>
      <c r="N10" s="6" t="str">
        <f>'Aggregate products'!AE9</f>
        <v/>
      </c>
      <c r="O10" t="str">
        <f t="shared" si="0"/>
        <v/>
      </c>
      <c r="Q10" s="36" t="str">
        <f>IF('Aggregate products'!D11+'Aggregate products'!E11&lt;'Aggregate products'!G11, "Error", "")</f>
        <v/>
      </c>
      <c r="U10" s="37" t="b">
        <f ca="1">ISNUMBER(SEARCH(".xls",_xlfn.FORMULATEXT('Aggregate products'!C11)))</f>
        <v>0</v>
      </c>
      <c r="V10" t="b">
        <f ca="1">ISNUMBER(SEARCH(".xls",_xlfn.FORMULATEXT('Aggregate products'!D11)))</f>
        <v>0</v>
      </c>
      <c r="W10" t="b">
        <f ca="1">ISNUMBER(SEARCH(".xls",_xlfn.FORMULATEXT('Aggregate products'!E11)))</f>
        <v>0</v>
      </c>
      <c r="X10" t="b">
        <f ca="1">ISNUMBER(SEARCH(".xls",_xlfn.FORMULATEXT('Aggregate products'!F11)))</f>
        <v>0</v>
      </c>
      <c r="Y10" t="b">
        <f ca="1">ISNUMBER(SEARCH(".xls",_xlfn.FORMULATEXT('Aggregate products'!G11)))</f>
        <v>0</v>
      </c>
      <c r="Z10" t="b">
        <f ca="1">ISNUMBER(SEARCH(".xls",_xlfn.FORMULATEXT('Aggregate products'!H11)))</f>
        <v>0</v>
      </c>
      <c r="AA10" t="b">
        <f ca="1">ISNUMBER(SEARCH(".xls",_xlfn.FORMULATEXT('Aggregate products'!I11)))</f>
        <v>0</v>
      </c>
      <c r="AB10" t="b">
        <f ca="1">ISNUMBER(SEARCH(".xls",_xlfn.FORMULATEXT('Aggregate products'!J11)))</f>
        <v>0</v>
      </c>
      <c r="AC10" t="b">
        <f ca="1">ISNUMBER(SEARCH(".xls",_xlfn.FORMULATEXT('Aggregate products'!K11)))</f>
        <v>0</v>
      </c>
      <c r="AD10" t="b">
        <f ca="1">ISNUMBER(SEARCH(".xls",_xlfn.FORMULATEXT('Aggregate products'!L11)))</f>
        <v>0</v>
      </c>
      <c r="AE10" t="b">
        <f ca="1">ISNUMBER(SEARCH(".xls",_xlfn.FORMULATEXT('Aggregate products'!M11)))</f>
        <v>0</v>
      </c>
      <c r="AF10" t="b">
        <f ca="1">ISNUMBER(SEARCH(".xls",_xlfn.FORMULATEXT('Aggregate products'!N11)))</f>
        <v>0</v>
      </c>
      <c r="AG10" s="38" t="b">
        <f ca="1">ISNUMBER(SEARCH(".xls",_xlfn.FORMULATEXT('Aggregate products'!O11)))</f>
        <v>0</v>
      </c>
    </row>
    <row r="11" spans="1:33" x14ac:dyDescent="0.3">
      <c r="A11" s="4" t="s">
        <v>267</v>
      </c>
      <c r="B11" s="5" t="str">
        <f>IF(OR('Start here'!B24='Start here'!B20, 'Start here'!B24="", 'Start here'!B24&lt;100000, 'Start here'!B24&gt;=1000000), "Fail", "Pass")</f>
        <v>Fail</v>
      </c>
      <c r="N11" s="6"/>
      <c r="Q11" s="36" t="str">
        <f>IF('Aggregate products'!D12+'Aggregate products'!E12&lt;'Aggregate products'!G12, "Error", "")</f>
        <v/>
      </c>
      <c r="U11" s="37" t="b">
        <f ca="1">ISNUMBER(SEARCH(".xls",_xlfn.FORMULATEXT('Aggregate products'!C12)))</f>
        <v>0</v>
      </c>
      <c r="V11" t="b">
        <f ca="1">ISNUMBER(SEARCH(".xls",_xlfn.FORMULATEXT('Aggregate products'!D12)))</f>
        <v>0</v>
      </c>
      <c r="W11" t="b">
        <f ca="1">ISNUMBER(SEARCH(".xls",_xlfn.FORMULATEXT('Aggregate products'!E12)))</f>
        <v>0</v>
      </c>
      <c r="X11" t="b">
        <f ca="1">ISNUMBER(SEARCH(".xls",_xlfn.FORMULATEXT('Aggregate products'!F12)))</f>
        <v>0</v>
      </c>
      <c r="Y11" t="b">
        <f ca="1">ISNUMBER(SEARCH(".xls",_xlfn.FORMULATEXT('Aggregate products'!G12)))</f>
        <v>0</v>
      </c>
      <c r="Z11" t="b">
        <f ca="1">ISNUMBER(SEARCH(".xls",_xlfn.FORMULATEXT('Aggregate products'!H12)))</f>
        <v>0</v>
      </c>
      <c r="AA11" t="b">
        <f ca="1">ISNUMBER(SEARCH(".xls",_xlfn.FORMULATEXT('Aggregate products'!I12)))</f>
        <v>0</v>
      </c>
      <c r="AB11" t="b">
        <f ca="1">ISNUMBER(SEARCH(".xls",_xlfn.FORMULATEXT('Aggregate products'!J12)))</f>
        <v>0</v>
      </c>
      <c r="AC11" t="b">
        <f ca="1">ISNUMBER(SEARCH(".xls",_xlfn.FORMULATEXT('Aggregate products'!K12)))</f>
        <v>0</v>
      </c>
      <c r="AD11" t="b">
        <f ca="1">ISNUMBER(SEARCH(".xls",_xlfn.FORMULATEXT('Aggregate products'!L12)))</f>
        <v>0</v>
      </c>
      <c r="AE11" t="b">
        <f ca="1">ISNUMBER(SEARCH(".xls",_xlfn.FORMULATEXT('Aggregate products'!M12)))</f>
        <v>0</v>
      </c>
      <c r="AF11" t="b">
        <f ca="1">ISNUMBER(SEARCH(".xls",_xlfn.FORMULATEXT('Aggregate products'!N12)))</f>
        <v>0</v>
      </c>
      <c r="AG11" s="38" t="b">
        <f ca="1">ISNUMBER(SEARCH(".xls",_xlfn.FORMULATEXT('Aggregate products'!O12)))</f>
        <v>0</v>
      </c>
    </row>
    <row r="12" spans="1:33" x14ac:dyDescent="0.3">
      <c r="A12" s="4" t="s">
        <v>269</v>
      </c>
      <c r="B12" s="5" t="str">
        <f>IF(AND('Start here'!B47="confirmed", 'Start here'!B48="confirmed", 'Start here'!B49="confirmed"), "Pass", "Fail")</f>
        <v>Fail</v>
      </c>
      <c r="N12" s="6"/>
      <c r="Q12" s="36" t="str">
        <f>IF('Aggregate products'!D13+'Aggregate products'!E13&lt;'Aggregate products'!G13, "Error", "")</f>
        <v/>
      </c>
      <c r="U12" s="37" t="b">
        <f ca="1">ISNUMBER(SEARCH(".xls",_xlfn.FORMULATEXT('Aggregate products'!C13)))</f>
        <v>0</v>
      </c>
      <c r="V12" t="b">
        <f ca="1">ISNUMBER(SEARCH(".xls",_xlfn.FORMULATEXT('Aggregate products'!D13)))</f>
        <v>0</v>
      </c>
      <c r="W12" t="b">
        <f ca="1">ISNUMBER(SEARCH(".xls",_xlfn.FORMULATEXT('Aggregate products'!E13)))</f>
        <v>0</v>
      </c>
      <c r="X12" t="b">
        <f ca="1">ISNUMBER(SEARCH(".xls",_xlfn.FORMULATEXT('Aggregate products'!F13)))</f>
        <v>0</v>
      </c>
      <c r="Y12" t="b">
        <f ca="1">ISNUMBER(SEARCH(".xls",_xlfn.FORMULATEXT('Aggregate products'!G13)))</f>
        <v>0</v>
      </c>
      <c r="Z12" t="b">
        <f ca="1">ISNUMBER(SEARCH(".xls",_xlfn.FORMULATEXT('Aggregate products'!H13)))</f>
        <v>0</v>
      </c>
      <c r="AA12" t="b">
        <f ca="1">ISNUMBER(SEARCH(".xls",_xlfn.FORMULATEXT('Aggregate products'!I13)))</f>
        <v>0</v>
      </c>
      <c r="AB12" t="b">
        <f ca="1">ISNUMBER(SEARCH(".xls",_xlfn.FORMULATEXT('Aggregate products'!J13)))</f>
        <v>0</v>
      </c>
      <c r="AC12" t="b">
        <f ca="1">ISNUMBER(SEARCH(".xls",_xlfn.FORMULATEXT('Aggregate products'!K13)))</f>
        <v>0</v>
      </c>
      <c r="AD12" t="b">
        <f ca="1">ISNUMBER(SEARCH(".xls",_xlfn.FORMULATEXT('Aggregate products'!L13)))</f>
        <v>0</v>
      </c>
      <c r="AE12" t="b">
        <f ca="1">ISNUMBER(SEARCH(".xls",_xlfn.FORMULATEXT('Aggregate products'!M13)))</f>
        <v>0</v>
      </c>
      <c r="AF12" t="b">
        <f ca="1">ISNUMBER(SEARCH(".xls",_xlfn.FORMULATEXT('Aggregate products'!N13)))</f>
        <v>0</v>
      </c>
      <c r="AG12" s="38" t="b">
        <f ca="1">ISNUMBER(SEARCH(".xls",_xlfn.FORMULATEXT('Aggregate products'!O13)))</f>
        <v>0</v>
      </c>
    </row>
    <row r="13" spans="1:33" x14ac:dyDescent="0.3">
      <c r="A13" s="4"/>
      <c r="B13" s="5"/>
      <c r="N13" s="6"/>
      <c r="Q13" s="36" t="str">
        <f>IF('Aggregate products'!D14+'Aggregate products'!E14&lt;'Aggregate products'!G14, "Error", "")</f>
        <v/>
      </c>
      <c r="U13" s="37" t="b">
        <f ca="1">ISNUMBER(SEARCH(".xls",_xlfn.FORMULATEXT('Aggregate products'!C14)))</f>
        <v>0</v>
      </c>
      <c r="V13" t="b">
        <f ca="1">ISNUMBER(SEARCH(".xls",_xlfn.FORMULATEXT('Aggregate products'!D14)))</f>
        <v>0</v>
      </c>
      <c r="W13" t="b">
        <f ca="1">ISNUMBER(SEARCH(".xls",_xlfn.FORMULATEXT('Aggregate products'!E14)))</f>
        <v>0</v>
      </c>
      <c r="X13" t="b">
        <f ca="1">ISNUMBER(SEARCH(".xls",_xlfn.FORMULATEXT('Aggregate products'!F14)))</f>
        <v>0</v>
      </c>
      <c r="Y13" t="b">
        <f ca="1">ISNUMBER(SEARCH(".xls",_xlfn.FORMULATEXT('Aggregate products'!G14)))</f>
        <v>0</v>
      </c>
      <c r="Z13" t="b">
        <f ca="1">ISNUMBER(SEARCH(".xls",_xlfn.FORMULATEXT('Aggregate products'!H14)))</f>
        <v>0</v>
      </c>
      <c r="AA13" t="b">
        <f ca="1">ISNUMBER(SEARCH(".xls",_xlfn.FORMULATEXT('Aggregate products'!I14)))</f>
        <v>0</v>
      </c>
      <c r="AB13" t="b">
        <f ca="1">ISNUMBER(SEARCH(".xls",_xlfn.FORMULATEXT('Aggregate products'!J14)))</f>
        <v>0</v>
      </c>
      <c r="AC13" t="b">
        <f ca="1">ISNUMBER(SEARCH(".xls",_xlfn.FORMULATEXT('Aggregate products'!K14)))</f>
        <v>0</v>
      </c>
      <c r="AD13" t="b">
        <f ca="1">ISNUMBER(SEARCH(".xls",_xlfn.FORMULATEXT('Aggregate products'!L14)))</f>
        <v>0</v>
      </c>
      <c r="AE13" t="b">
        <f ca="1">ISNUMBER(SEARCH(".xls",_xlfn.FORMULATEXT('Aggregate products'!M14)))</f>
        <v>0</v>
      </c>
      <c r="AF13" t="b">
        <f ca="1">ISNUMBER(SEARCH(".xls",_xlfn.FORMULATEXT('Aggregate products'!N14)))</f>
        <v>0</v>
      </c>
      <c r="AG13" s="38" t="b">
        <f ca="1">ISNUMBER(SEARCH(".xls",_xlfn.FORMULATEXT('Aggregate products'!O14)))</f>
        <v>0</v>
      </c>
    </row>
    <row r="14" spans="1:33" x14ac:dyDescent="0.3">
      <c r="A14" s="4"/>
      <c r="B14" s="5"/>
      <c r="N14" s="6"/>
      <c r="Q14" s="36" t="str">
        <f>IF('Aggregate products'!D15+'Aggregate products'!E15&lt;'Aggregate products'!G15, "Error", "")</f>
        <v/>
      </c>
      <c r="U14" s="37" t="b">
        <f ca="1">ISNUMBER(SEARCH(".xls",_xlfn.FORMULATEXT('Aggregate products'!C15)))</f>
        <v>0</v>
      </c>
      <c r="V14" t="b">
        <f ca="1">ISNUMBER(SEARCH(".xls",_xlfn.FORMULATEXT('Aggregate products'!D15)))</f>
        <v>0</v>
      </c>
      <c r="W14" t="b">
        <f ca="1">ISNUMBER(SEARCH(".xls",_xlfn.FORMULATEXT('Aggregate products'!E15)))</f>
        <v>0</v>
      </c>
      <c r="X14" t="b">
        <f ca="1">ISNUMBER(SEARCH(".xls",_xlfn.FORMULATEXT('Aggregate products'!F15)))</f>
        <v>0</v>
      </c>
      <c r="Y14" t="b">
        <f ca="1">ISNUMBER(SEARCH(".xls",_xlfn.FORMULATEXT('Aggregate products'!G15)))</f>
        <v>0</v>
      </c>
      <c r="Z14" t="b">
        <f ca="1">ISNUMBER(SEARCH(".xls",_xlfn.FORMULATEXT('Aggregate products'!H15)))</f>
        <v>0</v>
      </c>
      <c r="AA14" t="b">
        <f ca="1">ISNUMBER(SEARCH(".xls",_xlfn.FORMULATEXT('Aggregate products'!I15)))</f>
        <v>0</v>
      </c>
      <c r="AB14" t="b">
        <f ca="1">ISNUMBER(SEARCH(".xls",_xlfn.FORMULATEXT('Aggregate products'!J15)))</f>
        <v>0</v>
      </c>
      <c r="AC14" t="b">
        <f ca="1">ISNUMBER(SEARCH(".xls",_xlfn.FORMULATEXT('Aggregate products'!K15)))</f>
        <v>0</v>
      </c>
      <c r="AD14" t="b">
        <f ca="1">ISNUMBER(SEARCH(".xls",_xlfn.FORMULATEXT('Aggregate products'!L15)))</f>
        <v>0</v>
      </c>
      <c r="AE14" t="b">
        <f ca="1">ISNUMBER(SEARCH(".xls",_xlfn.FORMULATEXT('Aggregate products'!M15)))</f>
        <v>0</v>
      </c>
      <c r="AF14" t="b">
        <f ca="1">ISNUMBER(SEARCH(".xls",_xlfn.FORMULATEXT('Aggregate products'!N15)))</f>
        <v>0</v>
      </c>
      <c r="AG14" s="38" t="b">
        <f ca="1">ISNUMBER(SEARCH(".xls",_xlfn.FORMULATEXT('Aggregate products'!O15)))</f>
        <v>0</v>
      </c>
    </row>
    <row r="15" spans="1:33" x14ac:dyDescent="0.3">
      <c r="A15" s="4"/>
      <c r="B15" s="5"/>
      <c r="N15" s="6"/>
      <c r="Q15" s="36" t="str">
        <f>IF('Aggregate products'!D16+'Aggregate products'!E16&lt;'Aggregate products'!G16, "Error", "")</f>
        <v/>
      </c>
      <c r="U15" s="37" t="b">
        <f ca="1">ISNUMBER(SEARCH(".xls",_xlfn.FORMULATEXT('Aggregate products'!C16)))</f>
        <v>0</v>
      </c>
      <c r="V15" t="b">
        <f ca="1">ISNUMBER(SEARCH(".xls",_xlfn.FORMULATEXT('Aggregate products'!D16)))</f>
        <v>0</v>
      </c>
      <c r="W15" t="b">
        <f ca="1">ISNUMBER(SEARCH(".xls",_xlfn.FORMULATEXT('Aggregate products'!E16)))</f>
        <v>0</v>
      </c>
      <c r="X15" t="b">
        <f ca="1">ISNUMBER(SEARCH(".xls",_xlfn.FORMULATEXT('Aggregate products'!F16)))</f>
        <v>0</v>
      </c>
      <c r="Y15" t="b">
        <f ca="1">ISNUMBER(SEARCH(".xls",_xlfn.FORMULATEXT('Aggregate products'!G16)))</f>
        <v>0</v>
      </c>
      <c r="Z15" t="b">
        <f ca="1">ISNUMBER(SEARCH(".xls",_xlfn.FORMULATEXT('Aggregate products'!H16)))</f>
        <v>0</v>
      </c>
      <c r="AA15" t="b">
        <f ca="1">ISNUMBER(SEARCH(".xls",_xlfn.FORMULATEXT('Aggregate products'!I16)))</f>
        <v>0</v>
      </c>
      <c r="AB15" t="b">
        <f ca="1">ISNUMBER(SEARCH(".xls",_xlfn.FORMULATEXT('Aggregate products'!J16)))</f>
        <v>0</v>
      </c>
      <c r="AC15" t="b">
        <f ca="1">ISNUMBER(SEARCH(".xls",_xlfn.FORMULATEXT('Aggregate products'!K16)))</f>
        <v>0</v>
      </c>
      <c r="AD15" t="b">
        <f ca="1">ISNUMBER(SEARCH(".xls",_xlfn.FORMULATEXT('Aggregate products'!L16)))</f>
        <v>0</v>
      </c>
      <c r="AE15" t="b">
        <f ca="1">ISNUMBER(SEARCH(".xls",_xlfn.FORMULATEXT('Aggregate products'!M16)))</f>
        <v>0</v>
      </c>
      <c r="AF15" t="b">
        <f ca="1">ISNUMBER(SEARCH(".xls",_xlfn.FORMULATEXT('Aggregate products'!N16)))</f>
        <v>0</v>
      </c>
      <c r="AG15" s="38" t="b">
        <f ca="1">ISNUMBER(SEARCH(".xls",_xlfn.FORMULATEXT('Aggregate products'!O16)))</f>
        <v>0</v>
      </c>
    </row>
    <row r="16" spans="1:33" x14ac:dyDescent="0.3">
      <c r="A16" s="4"/>
      <c r="B16" s="5"/>
      <c r="N16" s="6"/>
      <c r="Q16" s="36" t="str">
        <f>IF('Aggregate products'!D17+'Aggregate products'!E17&lt;'Aggregate products'!G17, "Error", "")</f>
        <v/>
      </c>
      <c r="U16" s="37" t="b">
        <f ca="1">ISNUMBER(SEARCH(".xls",_xlfn.FORMULATEXT('Aggregate products'!C17)))</f>
        <v>0</v>
      </c>
      <c r="V16" t="b">
        <f ca="1">ISNUMBER(SEARCH(".xls",_xlfn.FORMULATEXT('Aggregate products'!D17)))</f>
        <v>0</v>
      </c>
      <c r="W16" t="b">
        <f ca="1">ISNUMBER(SEARCH(".xls",_xlfn.FORMULATEXT('Aggregate products'!E17)))</f>
        <v>0</v>
      </c>
      <c r="X16" t="b">
        <f ca="1">ISNUMBER(SEARCH(".xls",_xlfn.FORMULATEXT('Aggregate products'!F17)))</f>
        <v>0</v>
      </c>
      <c r="Y16" t="b">
        <f ca="1">ISNUMBER(SEARCH(".xls",_xlfn.FORMULATEXT('Aggregate products'!G17)))</f>
        <v>0</v>
      </c>
      <c r="Z16" t="b">
        <f ca="1">ISNUMBER(SEARCH(".xls",_xlfn.FORMULATEXT('Aggregate products'!H17)))</f>
        <v>0</v>
      </c>
      <c r="AA16" t="b">
        <f ca="1">ISNUMBER(SEARCH(".xls",_xlfn.FORMULATEXT('Aggregate products'!I17)))</f>
        <v>0</v>
      </c>
      <c r="AB16" t="b">
        <f ca="1">ISNUMBER(SEARCH(".xls",_xlfn.FORMULATEXT('Aggregate products'!J17)))</f>
        <v>0</v>
      </c>
      <c r="AC16" t="b">
        <f ca="1">ISNUMBER(SEARCH(".xls",_xlfn.FORMULATEXT('Aggregate products'!K17)))</f>
        <v>0</v>
      </c>
      <c r="AD16" t="b">
        <f ca="1">ISNUMBER(SEARCH(".xls",_xlfn.FORMULATEXT('Aggregate products'!L17)))</f>
        <v>0</v>
      </c>
      <c r="AE16" t="b">
        <f ca="1">ISNUMBER(SEARCH(".xls",_xlfn.FORMULATEXT('Aggregate products'!M17)))</f>
        <v>0</v>
      </c>
      <c r="AF16" t="b">
        <f ca="1">ISNUMBER(SEARCH(".xls",_xlfn.FORMULATEXT('Aggregate products'!N17)))</f>
        <v>0</v>
      </c>
      <c r="AG16" s="38" t="b">
        <f ca="1">ISNUMBER(SEARCH(".xls",_xlfn.FORMULATEXT('Aggregate products'!O17)))</f>
        <v>0</v>
      </c>
    </row>
    <row r="17" spans="1:33" x14ac:dyDescent="0.3">
      <c r="A17" s="4"/>
      <c r="B17" s="5"/>
      <c r="N17" s="6"/>
      <c r="Q17" s="36" t="str">
        <f>IF('Aggregate products'!D18+'Aggregate products'!E18&lt;'Aggregate products'!G18, "Error", "")</f>
        <v/>
      </c>
      <c r="U17" s="37" t="b">
        <f ca="1">ISNUMBER(SEARCH(".xls",_xlfn.FORMULATEXT('Aggregate products'!C18)))</f>
        <v>0</v>
      </c>
      <c r="V17" t="b">
        <f ca="1">ISNUMBER(SEARCH(".xls",_xlfn.FORMULATEXT('Aggregate products'!D18)))</f>
        <v>0</v>
      </c>
      <c r="W17" t="b">
        <f ca="1">ISNUMBER(SEARCH(".xls",_xlfn.FORMULATEXT('Aggregate products'!E18)))</f>
        <v>0</v>
      </c>
      <c r="X17" t="b">
        <f ca="1">ISNUMBER(SEARCH(".xls",_xlfn.FORMULATEXT('Aggregate products'!F18)))</f>
        <v>0</v>
      </c>
      <c r="Y17" t="b">
        <f ca="1">ISNUMBER(SEARCH(".xls",_xlfn.FORMULATEXT('Aggregate products'!G18)))</f>
        <v>0</v>
      </c>
      <c r="Z17" t="b">
        <f ca="1">ISNUMBER(SEARCH(".xls",_xlfn.FORMULATEXT('Aggregate products'!H18)))</f>
        <v>0</v>
      </c>
      <c r="AA17" t="b">
        <f ca="1">ISNUMBER(SEARCH(".xls",_xlfn.FORMULATEXT('Aggregate products'!I18)))</f>
        <v>0</v>
      </c>
      <c r="AB17" t="b">
        <f ca="1">ISNUMBER(SEARCH(".xls",_xlfn.FORMULATEXT('Aggregate products'!J18)))</f>
        <v>0</v>
      </c>
      <c r="AC17" t="b">
        <f ca="1">ISNUMBER(SEARCH(".xls",_xlfn.FORMULATEXT('Aggregate products'!K18)))</f>
        <v>0</v>
      </c>
      <c r="AD17" t="b">
        <f ca="1">ISNUMBER(SEARCH(".xls",_xlfn.FORMULATEXT('Aggregate products'!L18)))</f>
        <v>0</v>
      </c>
      <c r="AE17" t="b">
        <f ca="1">ISNUMBER(SEARCH(".xls",_xlfn.FORMULATEXT('Aggregate products'!M18)))</f>
        <v>0</v>
      </c>
      <c r="AF17" t="b">
        <f ca="1">ISNUMBER(SEARCH(".xls",_xlfn.FORMULATEXT('Aggregate products'!N18)))</f>
        <v>0</v>
      </c>
      <c r="AG17" s="38" t="b">
        <f ca="1">ISNUMBER(SEARCH(".xls",_xlfn.FORMULATEXT('Aggregate products'!O18)))</f>
        <v>0</v>
      </c>
    </row>
    <row r="18" spans="1:33" x14ac:dyDescent="0.3">
      <c r="A18" t="s">
        <v>247</v>
      </c>
      <c r="N18" s="6" t="str">
        <f>'Aggregate products'!AE10</f>
        <v/>
      </c>
      <c r="O18" t="str">
        <f t="shared" si="0"/>
        <v/>
      </c>
      <c r="Q18" s="36" t="str">
        <f>IF('Aggregate products'!D19+'Aggregate products'!E19&lt;'Aggregate products'!G19, "Error", "")</f>
        <v/>
      </c>
      <c r="U18" s="37" t="b">
        <f ca="1">ISNUMBER(SEARCH(".xls",_xlfn.FORMULATEXT('Aggregate products'!C19)))</f>
        <v>0</v>
      </c>
      <c r="V18" t="b">
        <f ca="1">ISNUMBER(SEARCH(".xls",_xlfn.FORMULATEXT('Aggregate products'!D19)))</f>
        <v>0</v>
      </c>
      <c r="W18" t="b">
        <f ca="1">ISNUMBER(SEARCH(".xls",_xlfn.FORMULATEXT('Aggregate products'!E19)))</f>
        <v>0</v>
      </c>
      <c r="X18" t="b">
        <f ca="1">ISNUMBER(SEARCH(".xls",_xlfn.FORMULATEXT('Aggregate products'!F19)))</f>
        <v>0</v>
      </c>
      <c r="Y18" t="b">
        <f ca="1">ISNUMBER(SEARCH(".xls",_xlfn.FORMULATEXT('Aggregate products'!G19)))</f>
        <v>0</v>
      </c>
      <c r="Z18" t="b">
        <f ca="1">ISNUMBER(SEARCH(".xls",_xlfn.FORMULATEXT('Aggregate products'!H19)))</f>
        <v>0</v>
      </c>
      <c r="AA18" t="b">
        <f ca="1">ISNUMBER(SEARCH(".xls",_xlfn.FORMULATEXT('Aggregate products'!I19)))</f>
        <v>0</v>
      </c>
      <c r="AB18" t="b">
        <f ca="1">ISNUMBER(SEARCH(".xls",_xlfn.FORMULATEXT('Aggregate products'!J19)))</f>
        <v>0</v>
      </c>
      <c r="AC18" t="b">
        <f ca="1">ISNUMBER(SEARCH(".xls",_xlfn.FORMULATEXT('Aggregate products'!K19)))</f>
        <v>0</v>
      </c>
      <c r="AD18" t="b">
        <f ca="1">ISNUMBER(SEARCH(".xls",_xlfn.FORMULATEXT('Aggregate products'!L19)))</f>
        <v>0</v>
      </c>
      <c r="AE18" t="b">
        <f ca="1">ISNUMBER(SEARCH(".xls",_xlfn.FORMULATEXT('Aggregate products'!M19)))</f>
        <v>0</v>
      </c>
      <c r="AF18" t="b">
        <f ca="1">ISNUMBER(SEARCH(".xls",_xlfn.FORMULATEXT('Aggregate products'!N19)))</f>
        <v>0</v>
      </c>
      <c r="AG18" s="38" t="b">
        <f ca="1">ISNUMBER(SEARCH(".xls",_xlfn.FORMULATEXT('Aggregate products'!O19)))</f>
        <v>0</v>
      </c>
    </row>
    <row r="19" spans="1:33" x14ac:dyDescent="0.3">
      <c r="A19" s="4" t="s">
        <v>248</v>
      </c>
      <c r="B19" t="str">
        <f>IF(COUNTIF($O:$O,"Error")&gt;0,"Fail","Pass")</f>
        <v>Pass</v>
      </c>
      <c r="N19" s="6" t="str">
        <f>'Aggregate products'!AE11</f>
        <v/>
      </c>
      <c r="O19" t="str">
        <f t="shared" si="0"/>
        <v/>
      </c>
      <c r="Q19" s="36" t="str">
        <f>IF('Aggregate products'!D20+'Aggregate products'!E20&lt;'Aggregate products'!G20, "Error", "")</f>
        <v/>
      </c>
      <c r="U19" s="37" t="b">
        <f ca="1">ISNUMBER(SEARCH(".xls",_xlfn.FORMULATEXT('Aggregate products'!C20)))</f>
        <v>0</v>
      </c>
      <c r="V19" t="b">
        <f ca="1">ISNUMBER(SEARCH(".xls",_xlfn.FORMULATEXT('Aggregate products'!D20)))</f>
        <v>0</v>
      </c>
      <c r="W19" t="b">
        <f ca="1">ISNUMBER(SEARCH(".xls",_xlfn.FORMULATEXT('Aggregate products'!E20)))</f>
        <v>0</v>
      </c>
      <c r="X19" t="b">
        <f ca="1">ISNUMBER(SEARCH(".xls",_xlfn.FORMULATEXT('Aggregate products'!F20)))</f>
        <v>0</v>
      </c>
      <c r="Y19" t="b">
        <f ca="1">ISNUMBER(SEARCH(".xls",_xlfn.FORMULATEXT('Aggregate products'!G20)))</f>
        <v>0</v>
      </c>
      <c r="Z19" t="b">
        <f ca="1">ISNUMBER(SEARCH(".xls",_xlfn.FORMULATEXT('Aggregate products'!H20)))</f>
        <v>0</v>
      </c>
      <c r="AA19" t="b">
        <f ca="1">ISNUMBER(SEARCH(".xls",_xlfn.FORMULATEXT('Aggregate products'!I20)))</f>
        <v>0</v>
      </c>
      <c r="AB19" t="b">
        <f ca="1">ISNUMBER(SEARCH(".xls",_xlfn.FORMULATEXT('Aggregate products'!J20)))</f>
        <v>0</v>
      </c>
      <c r="AC19" t="b">
        <f ca="1">ISNUMBER(SEARCH(".xls",_xlfn.FORMULATEXT('Aggregate products'!K20)))</f>
        <v>0</v>
      </c>
      <c r="AD19" t="b">
        <f ca="1">ISNUMBER(SEARCH(".xls",_xlfn.FORMULATEXT('Aggregate products'!L20)))</f>
        <v>0</v>
      </c>
      <c r="AE19" t="b">
        <f ca="1">ISNUMBER(SEARCH(".xls",_xlfn.FORMULATEXT('Aggregate products'!M20)))</f>
        <v>0</v>
      </c>
      <c r="AF19" t="b">
        <f ca="1">ISNUMBER(SEARCH(".xls",_xlfn.FORMULATEXT('Aggregate products'!N20)))</f>
        <v>0</v>
      </c>
      <c r="AG19" s="38" t="b">
        <f ca="1">ISNUMBER(SEARCH(".xls",_xlfn.FORMULATEXT('Aggregate products'!O20)))</f>
        <v>0</v>
      </c>
    </row>
    <row r="20" spans="1:33" x14ac:dyDescent="0.3">
      <c r="A20" s="4" t="s">
        <v>304</v>
      </c>
      <c r="B20" t="str">
        <f>IF(AND('Aggregate products'!$A$72&gt;0,SUM('Aggregate products'!$D$51:$E$58)=0),"Fail","Pass")</f>
        <v>Pass</v>
      </c>
      <c r="C20" s="33"/>
      <c r="N20" s="6" t="str">
        <f>'Aggregate products'!AE12</f>
        <v/>
      </c>
      <c r="O20" t="str">
        <f t="shared" si="0"/>
        <v/>
      </c>
      <c r="Q20" s="36" t="str">
        <f>IF('Aggregate products'!D21+'Aggregate products'!E21&lt;'Aggregate products'!G21, "Error", "")</f>
        <v/>
      </c>
      <c r="U20" s="37" t="b">
        <f ca="1">ISNUMBER(SEARCH(".xls",_xlfn.FORMULATEXT('Aggregate products'!C21)))</f>
        <v>0</v>
      </c>
      <c r="V20" t="b">
        <f ca="1">ISNUMBER(SEARCH(".xls",_xlfn.FORMULATEXT('Aggregate products'!D21)))</f>
        <v>0</v>
      </c>
      <c r="W20" t="b">
        <f ca="1">ISNUMBER(SEARCH(".xls",_xlfn.FORMULATEXT('Aggregate products'!E21)))</f>
        <v>0</v>
      </c>
      <c r="X20" t="b">
        <f ca="1">ISNUMBER(SEARCH(".xls",_xlfn.FORMULATEXT('Aggregate products'!F21)))</f>
        <v>0</v>
      </c>
      <c r="Y20" t="b">
        <f ca="1">ISNUMBER(SEARCH(".xls",_xlfn.FORMULATEXT('Aggregate products'!G21)))</f>
        <v>0</v>
      </c>
      <c r="Z20" t="b">
        <f ca="1">ISNUMBER(SEARCH(".xls",_xlfn.FORMULATEXT('Aggregate products'!H21)))</f>
        <v>0</v>
      </c>
      <c r="AA20" t="b">
        <f ca="1">ISNUMBER(SEARCH(".xls",_xlfn.FORMULATEXT('Aggregate products'!I21)))</f>
        <v>0</v>
      </c>
      <c r="AB20" t="b">
        <f ca="1">ISNUMBER(SEARCH(".xls",_xlfn.FORMULATEXT('Aggregate products'!J21)))</f>
        <v>0</v>
      </c>
      <c r="AC20" t="b">
        <f ca="1">ISNUMBER(SEARCH(".xls",_xlfn.FORMULATEXT('Aggregate products'!K21)))</f>
        <v>0</v>
      </c>
      <c r="AD20" t="b">
        <f ca="1">ISNUMBER(SEARCH(".xls",_xlfn.FORMULATEXT('Aggregate products'!L21)))</f>
        <v>0</v>
      </c>
      <c r="AE20" t="b">
        <f ca="1">ISNUMBER(SEARCH(".xls",_xlfn.FORMULATEXT('Aggregate products'!M21)))</f>
        <v>0</v>
      </c>
      <c r="AF20" t="b">
        <f ca="1">ISNUMBER(SEARCH(".xls",_xlfn.FORMULATEXT('Aggregate products'!N21)))</f>
        <v>0</v>
      </c>
      <c r="AG20" s="38" t="b">
        <f ca="1">ISNUMBER(SEARCH(".xls",_xlfn.FORMULATEXT('Aggregate products'!O21)))</f>
        <v>0</v>
      </c>
    </row>
    <row r="21" spans="1:33" x14ac:dyDescent="0.3">
      <c r="A21" s="4" t="s">
        <v>268</v>
      </c>
      <c r="B21" t="str">
        <f>IF(COUNTIF($Q:$Q,"Error")&gt;0,"Fail","Pass")</f>
        <v>Pass</v>
      </c>
      <c r="N21" s="6" t="str">
        <f>'Aggregate products'!AE13</f>
        <v/>
      </c>
      <c r="O21" t="str">
        <f t="shared" si="0"/>
        <v/>
      </c>
      <c r="Q21" s="36" t="str">
        <f>IF('Aggregate products'!D22+'Aggregate products'!E22&lt;'Aggregate products'!G22, "Error", "")</f>
        <v/>
      </c>
      <c r="U21" s="37" t="b">
        <f ca="1">ISNUMBER(SEARCH(".xls",_xlfn.FORMULATEXT('Aggregate products'!C22)))</f>
        <v>0</v>
      </c>
      <c r="V21" t="b">
        <f ca="1">ISNUMBER(SEARCH(".xls",_xlfn.FORMULATEXT('Aggregate products'!D22)))</f>
        <v>0</v>
      </c>
      <c r="W21" t="b">
        <f ca="1">ISNUMBER(SEARCH(".xls",_xlfn.FORMULATEXT('Aggregate products'!E22)))</f>
        <v>0</v>
      </c>
      <c r="X21" t="b">
        <f ca="1">ISNUMBER(SEARCH(".xls",_xlfn.FORMULATEXT('Aggregate products'!F22)))</f>
        <v>0</v>
      </c>
      <c r="Y21" t="b">
        <f ca="1">ISNUMBER(SEARCH(".xls",_xlfn.FORMULATEXT('Aggregate products'!G22)))</f>
        <v>0</v>
      </c>
      <c r="Z21" t="b">
        <f ca="1">ISNUMBER(SEARCH(".xls",_xlfn.FORMULATEXT('Aggregate products'!H22)))</f>
        <v>0</v>
      </c>
      <c r="AA21" t="b">
        <f ca="1">ISNUMBER(SEARCH(".xls",_xlfn.FORMULATEXT('Aggregate products'!I22)))</f>
        <v>0</v>
      </c>
      <c r="AB21" t="b">
        <f ca="1">ISNUMBER(SEARCH(".xls",_xlfn.FORMULATEXT('Aggregate products'!J22)))</f>
        <v>0</v>
      </c>
      <c r="AC21" t="b">
        <f ca="1">ISNUMBER(SEARCH(".xls",_xlfn.FORMULATEXT('Aggregate products'!K22)))</f>
        <v>0</v>
      </c>
      <c r="AD21" t="b">
        <f ca="1">ISNUMBER(SEARCH(".xls",_xlfn.FORMULATEXT('Aggregate products'!L22)))</f>
        <v>0</v>
      </c>
      <c r="AE21" t="b">
        <f ca="1">ISNUMBER(SEARCH(".xls",_xlfn.FORMULATEXT('Aggregate products'!M22)))</f>
        <v>0</v>
      </c>
      <c r="AF21" t="b">
        <f ca="1">ISNUMBER(SEARCH(".xls",_xlfn.FORMULATEXT('Aggregate products'!N22)))</f>
        <v>0</v>
      </c>
      <c r="AG21" s="38" t="b">
        <f ca="1">ISNUMBER(SEARCH(".xls",_xlfn.FORMULATEXT('Aggregate products'!O22)))</f>
        <v>0</v>
      </c>
    </row>
    <row r="22" spans="1:33" x14ac:dyDescent="0.3">
      <c r="A22" s="4" t="s">
        <v>278</v>
      </c>
      <c r="B22" t="str">
        <f ca="1">IF(COUNTIF(U3:AG66,"TRUE")&gt;0,"Fail","Pass")</f>
        <v>Pass</v>
      </c>
      <c r="N22" s="6" t="str">
        <f>'Aggregate products'!AE14</f>
        <v/>
      </c>
      <c r="O22" t="str">
        <f t="shared" si="0"/>
        <v/>
      </c>
      <c r="Q22" s="36" t="str">
        <f>IF('Aggregate products'!D23+'Aggregate products'!E23&lt;'Aggregate products'!G23, "Error", "")</f>
        <v/>
      </c>
      <c r="U22" s="37" t="b">
        <f ca="1">ISNUMBER(SEARCH(".xls",_xlfn.FORMULATEXT('Aggregate products'!C23)))</f>
        <v>0</v>
      </c>
      <c r="V22" t="b">
        <f ca="1">ISNUMBER(SEARCH(".xls",_xlfn.FORMULATEXT('Aggregate products'!D23)))</f>
        <v>0</v>
      </c>
      <c r="W22" t="b">
        <f ca="1">ISNUMBER(SEARCH(".xls",_xlfn.FORMULATEXT('Aggregate products'!E23)))</f>
        <v>0</v>
      </c>
      <c r="X22" t="b">
        <f ca="1">ISNUMBER(SEARCH(".xls",_xlfn.FORMULATEXT('Aggregate products'!F23)))</f>
        <v>0</v>
      </c>
      <c r="Y22" t="b">
        <f ca="1">ISNUMBER(SEARCH(".xls",_xlfn.FORMULATEXT('Aggregate products'!G23)))</f>
        <v>0</v>
      </c>
      <c r="Z22" t="b">
        <f ca="1">ISNUMBER(SEARCH(".xls",_xlfn.FORMULATEXT('Aggregate products'!H23)))</f>
        <v>0</v>
      </c>
      <c r="AA22" t="b">
        <f ca="1">ISNUMBER(SEARCH(".xls",_xlfn.FORMULATEXT('Aggregate products'!I23)))</f>
        <v>0</v>
      </c>
      <c r="AB22" t="b">
        <f ca="1">ISNUMBER(SEARCH(".xls",_xlfn.FORMULATEXT('Aggregate products'!J23)))</f>
        <v>0</v>
      </c>
      <c r="AC22" t="b">
        <f ca="1">ISNUMBER(SEARCH(".xls",_xlfn.FORMULATEXT('Aggregate products'!K23)))</f>
        <v>0</v>
      </c>
      <c r="AD22" t="b">
        <f ca="1">ISNUMBER(SEARCH(".xls",_xlfn.FORMULATEXT('Aggregate products'!L23)))</f>
        <v>0</v>
      </c>
      <c r="AE22" t="b">
        <f ca="1">ISNUMBER(SEARCH(".xls",_xlfn.FORMULATEXT('Aggregate products'!M23)))</f>
        <v>0</v>
      </c>
      <c r="AF22" t="b">
        <f ca="1">ISNUMBER(SEARCH(".xls",_xlfn.FORMULATEXT('Aggregate products'!N23)))</f>
        <v>0</v>
      </c>
      <c r="AG22" s="38" t="b">
        <f ca="1">ISNUMBER(SEARCH(".xls",_xlfn.FORMULATEXT('Aggregate products'!O23)))</f>
        <v>0</v>
      </c>
    </row>
    <row r="23" spans="1:33" x14ac:dyDescent="0.3">
      <c r="A23" s="4" t="s">
        <v>305</v>
      </c>
      <c r="B23" t="str">
        <f>IF(AND('Aggregate products'!D53+'Aggregate products'!E53&gt;0, 'Aggregate products'!D51+'Aggregate products'!E51=0, 'Aggregate products'!D52 + 'Aggregate products'!E52=0, 'Aggregate products'!D54 + 'Aggregate products'!E54 =0, 'Aggregate products'!D55+'Aggregate products'!E55=0, 'Aggregate products'!D56+'Aggregate products'!E56=0, 'Aggregate products'!D57+'Aggregate products'!E57=0, 'Aggregate products'!D58+'Aggregate products'!E58=0), "Fail", "Pass")</f>
        <v>Pass</v>
      </c>
      <c r="N23" s="6" t="str">
        <f>'Aggregate products'!AE15</f>
        <v/>
      </c>
      <c r="O23" t="str">
        <f t="shared" si="0"/>
        <v/>
      </c>
      <c r="Q23" s="36" t="str">
        <f>IF('Aggregate products'!D24+'Aggregate products'!E24&lt;'Aggregate products'!G24, "Error", "")</f>
        <v/>
      </c>
      <c r="U23" s="37" t="b">
        <f ca="1">ISNUMBER(SEARCH(".xls",_xlfn.FORMULATEXT('Aggregate products'!C24)))</f>
        <v>0</v>
      </c>
      <c r="V23" t="b">
        <f ca="1">ISNUMBER(SEARCH(".xls",_xlfn.FORMULATEXT('Aggregate products'!D24)))</f>
        <v>0</v>
      </c>
      <c r="W23" t="b">
        <f ca="1">ISNUMBER(SEARCH(".xls",_xlfn.FORMULATEXT('Aggregate products'!E24)))</f>
        <v>0</v>
      </c>
      <c r="X23" t="b">
        <f ca="1">ISNUMBER(SEARCH(".xls",_xlfn.FORMULATEXT('Aggregate products'!F24)))</f>
        <v>0</v>
      </c>
      <c r="Y23" t="b">
        <f ca="1">ISNUMBER(SEARCH(".xls",_xlfn.FORMULATEXT('Aggregate products'!G24)))</f>
        <v>0</v>
      </c>
      <c r="Z23" t="b">
        <f ca="1">ISNUMBER(SEARCH(".xls",_xlfn.FORMULATEXT('Aggregate products'!H24)))</f>
        <v>0</v>
      </c>
      <c r="AA23" t="b">
        <f ca="1">ISNUMBER(SEARCH(".xls",_xlfn.FORMULATEXT('Aggregate products'!I24)))</f>
        <v>0</v>
      </c>
      <c r="AB23" t="b">
        <f ca="1">ISNUMBER(SEARCH(".xls",_xlfn.FORMULATEXT('Aggregate products'!J24)))</f>
        <v>0</v>
      </c>
      <c r="AC23" t="b">
        <f ca="1">ISNUMBER(SEARCH(".xls",_xlfn.FORMULATEXT('Aggregate products'!K24)))</f>
        <v>0</v>
      </c>
      <c r="AD23" t="b">
        <f ca="1">ISNUMBER(SEARCH(".xls",_xlfn.FORMULATEXT('Aggregate products'!L24)))</f>
        <v>0</v>
      </c>
      <c r="AE23" t="b">
        <f ca="1">ISNUMBER(SEARCH(".xls",_xlfn.FORMULATEXT('Aggregate products'!M24)))</f>
        <v>0</v>
      </c>
      <c r="AF23" t="b">
        <f ca="1">ISNUMBER(SEARCH(".xls",_xlfn.FORMULATEXT('Aggregate products'!N24)))</f>
        <v>0</v>
      </c>
      <c r="AG23" s="38" t="b">
        <f ca="1">ISNUMBER(SEARCH(".xls",_xlfn.FORMULATEXT('Aggregate products'!O24)))</f>
        <v>0</v>
      </c>
    </row>
    <row r="24" spans="1:33" x14ac:dyDescent="0.3">
      <c r="A24" s="4" t="s">
        <v>306</v>
      </c>
      <c r="B24" t="str">
        <f>IF(AND('Aggregate products'!D55+'Aggregate products'!E55&gt;0, 'Aggregate products'!D51+'Aggregate products'!E51=0, 'Aggregate products'!D52 + 'Aggregate products'!E52=0, 'Aggregate products'!D53+'Aggregate products'!E53=0,'Aggregate products'!D54 + 'Aggregate products'!E54 =0, 'Aggregate products'!D56+'Aggregate products'!E56=0, 'Aggregate products'!D57+'Aggregate products'!E57=0, 'Aggregate products'!D58+'Aggregate products'!E58=0), "Fail", "Pass")</f>
        <v>Pass</v>
      </c>
      <c r="N24" s="6" t="str">
        <f>'Aggregate products'!AE16</f>
        <v/>
      </c>
      <c r="O24" t="str">
        <f t="shared" si="0"/>
        <v/>
      </c>
      <c r="Q24" s="36" t="str">
        <f>IF('Aggregate products'!D25+'Aggregate products'!E25&lt;'Aggregate products'!G25, "Error", "")</f>
        <v/>
      </c>
      <c r="U24" s="37" t="b">
        <f ca="1">ISNUMBER(SEARCH(".xls",_xlfn.FORMULATEXT('Aggregate products'!C25)))</f>
        <v>0</v>
      </c>
      <c r="V24" t="b">
        <f ca="1">ISNUMBER(SEARCH(".xls",_xlfn.FORMULATEXT('Aggregate products'!D25)))</f>
        <v>0</v>
      </c>
      <c r="W24" t="b">
        <f ca="1">ISNUMBER(SEARCH(".xls",_xlfn.FORMULATEXT('Aggregate products'!E25)))</f>
        <v>0</v>
      </c>
      <c r="X24" t="b">
        <f ca="1">ISNUMBER(SEARCH(".xls",_xlfn.FORMULATEXT('Aggregate products'!F25)))</f>
        <v>0</v>
      </c>
      <c r="Y24" t="b">
        <f ca="1">ISNUMBER(SEARCH(".xls",_xlfn.FORMULATEXT('Aggregate products'!G25)))</f>
        <v>0</v>
      </c>
      <c r="Z24" t="b">
        <f ca="1">ISNUMBER(SEARCH(".xls",_xlfn.FORMULATEXT('Aggregate products'!H25)))</f>
        <v>0</v>
      </c>
      <c r="AA24" t="b">
        <f ca="1">ISNUMBER(SEARCH(".xls",_xlfn.FORMULATEXT('Aggregate products'!I25)))</f>
        <v>0</v>
      </c>
      <c r="AB24" t="b">
        <f ca="1">ISNUMBER(SEARCH(".xls",_xlfn.FORMULATEXT('Aggregate products'!J25)))</f>
        <v>0</v>
      </c>
      <c r="AC24" t="b">
        <f ca="1">ISNUMBER(SEARCH(".xls",_xlfn.FORMULATEXT('Aggregate products'!K25)))</f>
        <v>0</v>
      </c>
      <c r="AD24" t="b">
        <f ca="1">ISNUMBER(SEARCH(".xls",_xlfn.FORMULATEXT('Aggregate products'!L25)))</f>
        <v>0</v>
      </c>
      <c r="AE24" t="b">
        <f ca="1">ISNUMBER(SEARCH(".xls",_xlfn.FORMULATEXT('Aggregate products'!M25)))</f>
        <v>0</v>
      </c>
      <c r="AF24" t="b">
        <f ca="1">ISNUMBER(SEARCH(".xls",_xlfn.FORMULATEXT('Aggregate products'!N25)))</f>
        <v>0</v>
      </c>
      <c r="AG24" s="38" t="b">
        <f ca="1">ISNUMBER(SEARCH(".xls",_xlfn.FORMULATEXT('Aggregate products'!O25)))</f>
        <v>0</v>
      </c>
    </row>
    <row r="25" spans="1:33" x14ac:dyDescent="0.3">
      <c r="N25" s="6" t="str">
        <f>'Aggregate products'!AE17</f>
        <v/>
      </c>
      <c r="O25" t="str">
        <f t="shared" si="0"/>
        <v/>
      </c>
      <c r="Q25" s="36" t="str">
        <f>IF('Aggregate products'!D26+'Aggregate products'!E26&lt;'Aggregate products'!G26, "Error", "")</f>
        <v/>
      </c>
      <c r="U25" s="37" t="b">
        <f ca="1">ISNUMBER(SEARCH(".xls",_xlfn.FORMULATEXT('Aggregate products'!C26)))</f>
        <v>0</v>
      </c>
      <c r="V25" t="b">
        <f ca="1">ISNUMBER(SEARCH(".xls",_xlfn.FORMULATEXT('Aggregate products'!D26)))</f>
        <v>0</v>
      </c>
      <c r="W25" t="b">
        <f ca="1">ISNUMBER(SEARCH(".xls",_xlfn.FORMULATEXT('Aggregate products'!E26)))</f>
        <v>0</v>
      </c>
      <c r="X25" t="b">
        <f ca="1">ISNUMBER(SEARCH(".xls",_xlfn.FORMULATEXT('Aggregate products'!F26)))</f>
        <v>0</v>
      </c>
      <c r="Y25" t="b">
        <f ca="1">ISNUMBER(SEARCH(".xls",_xlfn.FORMULATEXT('Aggregate products'!G26)))</f>
        <v>0</v>
      </c>
      <c r="Z25" t="b">
        <f ca="1">ISNUMBER(SEARCH(".xls",_xlfn.FORMULATEXT('Aggregate products'!H26)))</f>
        <v>0</v>
      </c>
      <c r="AA25" t="b">
        <f ca="1">ISNUMBER(SEARCH(".xls",_xlfn.FORMULATEXT('Aggregate products'!I26)))</f>
        <v>0</v>
      </c>
      <c r="AB25" t="b">
        <f ca="1">ISNUMBER(SEARCH(".xls",_xlfn.FORMULATEXT('Aggregate products'!J26)))</f>
        <v>0</v>
      </c>
      <c r="AC25" t="b">
        <f ca="1">ISNUMBER(SEARCH(".xls",_xlfn.FORMULATEXT('Aggregate products'!K26)))</f>
        <v>0</v>
      </c>
      <c r="AD25" t="b">
        <f ca="1">ISNUMBER(SEARCH(".xls",_xlfn.FORMULATEXT('Aggregate products'!L26)))</f>
        <v>0</v>
      </c>
      <c r="AE25" t="b">
        <f ca="1">ISNUMBER(SEARCH(".xls",_xlfn.FORMULATEXT('Aggregate products'!M26)))</f>
        <v>0</v>
      </c>
      <c r="AF25" t="b">
        <f ca="1">ISNUMBER(SEARCH(".xls",_xlfn.FORMULATEXT('Aggregate products'!N26)))</f>
        <v>0</v>
      </c>
      <c r="AG25" s="38" t="b">
        <f ca="1">ISNUMBER(SEARCH(".xls",_xlfn.FORMULATEXT('Aggregate products'!O26)))</f>
        <v>0</v>
      </c>
    </row>
    <row r="26" spans="1:33" x14ac:dyDescent="0.3">
      <c r="N26" s="6" t="str">
        <f>'Aggregate products'!AE18</f>
        <v/>
      </c>
      <c r="O26" t="str">
        <f t="shared" si="0"/>
        <v/>
      </c>
      <c r="Q26" s="36" t="str">
        <f>IF('Aggregate products'!D27+'Aggregate products'!E27&lt;'Aggregate products'!G27, "Error", "")</f>
        <v/>
      </c>
      <c r="U26" s="37" t="b">
        <f ca="1">ISNUMBER(SEARCH(".xls",_xlfn.FORMULATEXT('Aggregate products'!C27)))</f>
        <v>0</v>
      </c>
      <c r="V26" t="b">
        <f ca="1">ISNUMBER(SEARCH(".xls",_xlfn.FORMULATEXT('Aggregate products'!D27)))</f>
        <v>0</v>
      </c>
      <c r="W26" t="b">
        <f ca="1">ISNUMBER(SEARCH(".xls",_xlfn.FORMULATEXT('Aggregate products'!E27)))</f>
        <v>0</v>
      </c>
      <c r="X26" t="b">
        <f ca="1">ISNUMBER(SEARCH(".xls",_xlfn.FORMULATEXT('Aggregate products'!F27)))</f>
        <v>0</v>
      </c>
      <c r="Y26" t="b">
        <f ca="1">ISNUMBER(SEARCH(".xls",_xlfn.FORMULATEXT('Aggregate products'!G27)))</f>
        <v>0</v>
      </c>
      <c r="Z26" t="b">
        <f ca="1">ISNUMBER(SEARCH(".xls",_xlfn.FORMULATEXT('Aggregate products'!H27)))</f>
        <v>0</v>
      </c>
      <c r="AA26" t="b">
        <f ca="1">ISNUMBER(SEARCH(".xls",_xlfn.FORMULATEXT('Aggregate products'!I27)))</f>
        <v>0</v>
      </c>
      <c r="AB26" t="b">
        <f ca="1">ISNUMBER(SEARCH(".xls",_xlfn.FORMULATEXT('Aggregate products'!J27)))</f>
        <v>0</v>
      </c>
      <c r="AC26" t="b">
        <f ca="1">ISNUMBER(SEARCH(".xls",_xlfn.FORMULATEXT('Aggregate products'!K27)))</f>
        <v>0</v>
      </c>
      <c r="AD26" t="b">
        <f ca="1">ISNUMBER(SEARCH(".xls",_xlfn.FORMULATEXT('Aggregate products'!L27)))</f>
        <v>0</v>
      </c>
      <c r="AE26" t="b">
        <f ca="1">ISNUMBER(SEARCH(".xls",_xlfn.FORMULATEXT('Aggregate products'!M27)))</f>
        <v>0</v>
      </c>
      <c r="AF26" t="b">
        <f ca="1">ISNUMBER(SEARCH(".xls",_xlfn.FORMULATEXT('Aggregate products'!N27)))</f>
        <v>0</v>
      </c>
      <c r="AG26" s="38" t="b">
        <f ca="1">ISNUMBER(SEARCH(".xls",_xlfn.FORMULATEXT('Aggregate products'!O27)))</f>
        <v>0</v>
      </c>
    </row>
    <row r="27" spans="1:33" x14ac:dyDescent="0.3">
      <c r="N27" s="6" t="str">
        <f>'Aggregate products'!AE19</f>
        <v/>
      </c>
      <c r="O27" t="str">
        <f t="shared" si="0"/>
        <v/>
      </c>
      <c r="Q27" s="36" t="str">
        <f>IF('Aggregate products'!D28+'Aggregate products'!E28&lt;'Aggregate products'!G28, "Error", "")</f>
        <v/>
      </c>
      <c r="U27" s="37" t="b">
        <f ca="1">ISNUMBER(SEARCH(".xls",_xlfn.FORMULATEXT('Aggregate products'!C28)))</f>
        <v>0</v>
      </c>
      <c r="V27" t="b">
        <f ca="1">ISNUMBER(SEARCH(".xls",_xlfn.FORMULATEXT('Aggregate products'!D28)))</f>
        <v>0</v>
      </c>
      <c r="W27" t="b">
        <f ca="1">ISNUMBER(SEARCH(".xls",_xlfn.FORMULATEXT('Aggregate products'!E28)))</f>
        <v>0</v>
      </c>
      <c r="X27" t="b">
        <f ca="1">ISNUMBER(SEARCH(".xls",_xlfn.FORMULATEXT('Aggregate products'!F28)))</f>
        <v>0</v>
      </c>
      <c r="Y27" t="b">
        <f ca="1">ISNUMBER(SEARCH(".xls",_xlfn.FORMULATEXT('Aggregate products'!G28)))</f>
        <v>0</v>
      </c>
      <c r="Z27" t="b">
        <f ca="1">ISNUMBER(SEARCH(".xls",_xlfn.FORMULATEXT('Aggregate products'!H28)))</f>
        <v>0</v>
      </c>
      <c r="AA27" t="b">
        <f ca="1">ISNUMBER(SEARCH(".xls",_xlfn.FORMULATEXT('Aggregate products'!I28)))</f>
        <v>0</v>
      </c>
      <c r="AB27" t="b">
        <f ca="1">ISNUMBER(SEARCH(".xls",_xlfn.FORMULATEXT('Aggregate products'!J28)))</f>
        <v>0</v>
      </c>
      <c r="AC27" t="b">
        <f ca="1">ISNUMBER(SEARCH(".xls",_xlfn.FORMULATEXT('Aggregate products'!K28)))</f>
        <v>0</v>
      </c>
      <c r="AD27" t="b">
        <f ca="1">ISNUMBER(SEARCH(".xls",_xlfn.FORMULATEXT('Aggregate products'!L28)))</f>
        <v>0</v>
      </c>
      <c r="AE27" t="b">
        <f ca="1">ISNUMBER(SEARCH(".xls",_xlfn.FORMULATEXT('Aggregate products'!M28)))</f>
        <v>0</v>
      </c>
      <c r="AF27" t="b">
        <f ca="1">ISNUMBER(SEARCH(".xls",_xlfn.FORMULATEXT('Aggregate products'!N28)))</f>
        <v>0</v>
      </c>
      <c r="AG27" s="38" t="b">
        <f ca="1">ISNUMBER(SEARCH(".xls",_xlfn.FORMULATEXT('Aggregate products'!O28)))</f>
        <v>0</v>
      </c>
    </row>
    <row r="28" spans="1:33" x14ac:dyDescent="0.3">
      <c r="N28" s="6" t="str">
        <f>'Aggregate products'!AE20</f>
        <v/>
      </c>
      <c r="O28" t="str">
        <f t="shared" si="0"/>
        <v/>
      </c>
      <c r="Q28" s="36" t="str">
        <f>IF('Aggregate products'!D29+'Aggregate products'!E29&lt;'Aggregate products'!G29, "Error", "")</f>
        <v/>
      </c>
      <c r="U28" s="37" t="b">
        <f ca="1">ISNUMBER(SEARCH(".xls",_xlfn.FORMULATEXT('Aggregate products'!C29)))</f>
        <v>0</v>
      </c>
      <c r="V28" t="b">
        <f ca="1">ISNUMBER(SEARCH(".xls",_xlfn.FORMULATEXT('Aggregate products'!D29)))</f>
        <v>0</v>
      </c>
      <c r="W28" t="b">
        <f ca="1">ISNUMBER(SEARCH(".xls",_xlfn.FORMULATEXT('Aggregate products'!E29)))</f>
        <v>0</v>
      </c>
      <c r="X28" t="b">
        <f ca="1">ISNUMBER(SEARCH(".xls",_xlfn.FORMULATEXT('Aggregate products'!F29)))</f>
        <v>0</v>
      </c>
      <c r="Y28" t="b">
        <f ca="1">ISNUMBER(SEARCH(".xls",_xlfn.FORMULATEXT('Aggregate products'!G29)))</f>
        <v>0</v>
      </c>
      <c r="Z28" t="b">
        <f ca="1">ISNUMBER(SEARCH(".xls",_xlfn.FORMULATEXT('Aggregate products'!H29)))</f>
        <v>0</v>
      </c>
      <c r="AA28" t="b">
        <f ca="1">ISNUMBER(SEARCH(".xls",_xlfn.FORMULATEXT('Aggregate products'!I29)))</f>
        <v>0</v>
      </c>
      <c r="AB28" t="b">
        <f ca="1">ISNUMBER(SEARCH(".xls",_xlfn.FORMULATEXT('Aggregate products'!J29)))</f>
        <v>0</v>
      </c>
      <c r="AC28" t="b">
        <f ca="1">ISNUMBER(SEARCH(".xls",_xlfn.FORMULATEXT('Aggregate products'!K29)))</f>
        <v>0</v>
      </c>
      <c r="AD28" t="b">
        <f ca="1">ISNUMBER(SEARCH(".xls",_xlfn.FORMULATEXT('Aggregate products'!L29)))</f>
        <v>0</v>
      </c>
      <c r="AE28" t="b">
        <f ca="1">ISNUMBER(SEARCH(".xls",_xlfn.FORMULATEXT('Aggregate products'!M29)))</f>
        <v>0</v>
      </c>
      <c r="AF28" t="b">
        <f ca="1">ISNUMBER(SEARCH(".xls",_xlfn.FORMULATEXT('Aggregate products'!N29)))</f>
        <v>0</v>
      </c>
      <c r="AG28" s="38" t="b">
        <f ca="1">ISNUMBER(SEARCH(".xls",_xlfn.FORMULATEXT('Aggregate products'!O29)))</f>
        <v>0</v>
      </c>
    </row>
    <row r="29" spans="1:33" x14ac:dyDescent="0.3">
      <c r="N29" s="6" t="str">
        <f>'Aggregate products'!AE21</f>
        <v/>
      </c>
      <c r="O29" t="str">
        <f t="shared" si="0"/>
        <v/>
      </c>
      <c r="Q29" s="36" t="str">
        <f>IF('Aggregate products'!D30+'Aggregate products'!E30&lt;'Aggregate products'!G30, "Error", "")</f>
        <v/>
      </c>
      <c r="U29" s="37" t="b">
        <f ca="1">ISNUMBER(SEARCH(".xls",_xlfn.FORMULATEXT('Aggregate products'!C30)))</f>
        <v>0</v>
      </c>
      <c r="V29" t="b">
        <f ca="1">ISNUMBER(SEARCH(".xls",_xlfn.FORMULATEXT('Aggregate products'!D30)))</f>
        <v>0</v>
      </c>
      <c r="W29" t="b">
        <f ca="1">ISNUMBER(SEARCH(".xls",_xlfn.FORMULATEXT('Aggregate products'!E30)))</f>
        <v>0</v>
      </c>
      <c r="X29" t="b">
        <f ca="1">ISNUMBER(SEARCH(".xls",_xlfn.FORMULATEXT('Aggregate products'!F30)))</f>
        <v>0</v>
      </c>
      <c r="Y29" t="b">
        <f ca="1">ISNUMBER(SEARCH(".xls",_xlfn.FORMULATEXT('Aggregate products'!G30)))</f>
        <v>0</v>
      </c>
      <c r="Z29" t="b">
        <f ca="1">ISNUMBER(SEARCH(".xls",_xlfn.FORMULATEXT('Aggregate products'!H30)))</f>
        <v>0</v>
      </c>
      <c r="AA29" t="b">
        <f ca="1">ISNUMBER(SEARCH(".xls",_xlfn.FORMULATEXT('Aggregate products'!I30)))</f>
        <v>0</v>
      </c>
      <c r="AB29" t="b">
        <f ca="1">ISNUMBER(SEARCH(".xls",_xlfn.FORMULATEXT('Aggregate products'!J30)))</f>
        <v>0</v>
      </c>
      <c r="AC29" t="b">
        <f ca="1">ISNUMBER(SEARCH(".xls",_xlfn.FORMULATEXT('Aggregate products'!K30)))</f>
        <v>0</v>
      </c>
      <c r="AD29" t="b">
        <f ca="1">ISNUMBER(SEARCH(".xls",_xlfn.FORMULATEXT('Aggregate products'!L30)))</f>
        <v>0</v>
      </c>
      <c r="AE29" t="b">
        <f ca="1">ISNUMBER(SEARCH(".xls",_xlfn.FORMULATEXT('Aggregate products'!M30)))</f>
        <v>0</v>
      </c>
      <c r="AF29" t="b">
        <f ca="1">ISNUMBER(SEARCH(".xls",_xlfn.FORMULATEXT('Aggregate products'!N30)))</f>
        <v>0</v>
      </c>
      <c r="AG29" s="38" t="b">
        <f ca="1">ISNUMBER(SEARCH(".xls",_xlfn.FORMULATEXT('Aggregate products'!O30)))</f>
        <v>0</v>
      </c>
    </row>
    <row r="30" spans="1:33" x14ac:dyDescent="0.3">
      <c r="N30" s="6" t="str">
        <f>'Aggregate products'!AE22</f>
        <v/>
      </c>
      <c r="O30" t="str">
        <f t="shared" si="0"/>
        <v/>
      </c>
      <c r="Q30" s="36" t="str">
        <f>IF('Aggregate products'!D31+'Aggregate products'!E31&lt;'Aggregate products'!G31, "Error", "")</f>
        <v/>
      </c>
      <c r="U30" s="37" t="b">
        <f ca="1">ISNUMBER(SEARCH(".xls",_xlfn.FORMULATEXT('Aggregate products'!C31)))</f>
        <v>0</v>
      </c>
      <c r="V30" t="b">
        <f ca="1">ISNUMBER(SEARCH(".xls",_xlfn.FORMULATEXT('Aggregate products'!D31)))</f>
        <v>0</v>
      </c>
      <c r="W30" t="b">
        <f ca="1">ISNUMBER(SEARCH(".xls",_xlfn.FORMULATEXT('Aggregate products'!E31)))</f>
        <v>0</v>
      </c>
      <c r="X30" t="b">
        <f ca="1">ISNUMBER(SEARCH(".xls",_xlfn.FORMULATEXT('Aggregate products'!F31)))</f>
        <v>0</v>
      </c>
      <c r="Y30" t="b">
        <f ca="1">ISNUMBER(SEARCH(".xls",_xlfn.FORMULATEXT('Aggregate products'!G31)))</f>
        <v>0</v>
      </c>
      <c r="Z30" t="b">
        <f ca="1">ISNUMBER(SEARCH(".xls",_xlfn.FORMULATEXT('Aggregate products'!H31)))</f>
        <v>0</v>
      </c>
      <c r="AA30" t="b">
        <f ca="1">ISNUMBER(SEARCH(".xls",_xlfn.FORMULATEXT('Aggregate products'!I31)))</f>
        <v>0</v>
      </c>
      <c r="AB30" t="b">
        <f ca="1">ISNUMBER(SEARCH(".xls",_xlfn.FORMULATEXT('Aggregate products'!J31)))</f>
        <v>0</v>
      </c>
      <c r="AC30" t="b">
        <f ca="1">ISNUMBER(SEARCH(".xls",_xlfn.FORMULATEXT('Aggregate products'!K31)))</f>
        <v>0</v>
      </c>
      <c r="AD30" t="b">
        <f ca="1">ISNUMBER(SEARCH(".xls",_xlfn.FORMULATEXT('Aggregate products'!L31)))</f>
        <v>0</v>
      </c>
      <c r="AE30" t="b">
        <f ca="1">ISNUMBER(SEARCH(".xls",_xlfn.FORMULATEXT('Aggregate products'!M31)))</f>
        <v>0</v>
      </c>
      <c r="AF30" t="b">
        <f ca="1">ISNUMBER(SEARCH(".xls",_xlfn.FORMULATEXT('Aggregate products'!N31)))</f>
        <v>0</v>
      </c>
      <c r="AG30" s="38" t="b">
        <f ca="1">ISNUMBER(SEARCH(".xls",_xlfn.FORMULATEXT('Aggregate products'!O31)))</f>
        <v>0</v>
      </c>
    </row>
    <row r="31" spans="1:33" x14ac:dyDescent="0.3">
      <c r="N31" s="6" t="str">
        <f>'Aggregate products'!AE23</f>
        <v/>
      </c>
      <c r="O31" t="str">
        <f t="shared" si="0"/>
        <v/>
      </c>
      <c r="Q31" s="36" t="str">
        <f>IF('Aggregate products'!D32+'Aggregate products'!E32&lt;'Aggregate products'!G32, "Error", "")</f>
        <v/>
      </c>
      <c r="U31" s="37" t="b">
        <f ca="1">ISNUMBER(SEARCH(".xls",_xlfn.FORMULATEXT('Aggregate products'!C32)))</f>
        <v>0</v>
      </c>
      <c r="V31" t="b">
        <f ca="1">ISNUMBER(SEARCH(".xls",_xlfn.FORMULATEXT('Aggregate products'!D32)))</f>
        <v>0</v>
      </c>
      <c r="W31" t="b">
        <f ca="1">ISNUMBER(SEARCH(".xls",_xlfn.FORMULATEXT('Aggregate products'!E32)))</f>
        <v>0</v>
      </c>
      <c r="X31" t="b">
        <f ca="1">ISNUMBER(SEARCH(".xls",_xlfn.FORMULATEXT('Aggregate products'!F32)))</f>
        <v>0</v>
      </c>
      <c r="Y31" t="b">
        <f ca="1">ISNUMBER(SEARCH(".xls",_xlfn.FORMULATEXT('Aggregate products'!G32)))</f>
        <v>0</v>
      </c>
      <c r="Z31" t="b">
        <f ca="1">ISNUMBER(SEARCH(".xls",_xlfn.FORMULATEXT('Aggregate products'!H32)))</f>
        <v>0</v>
      </c>
      <c r="AA31" t="b">
        <f ca="1">ISNUMBER(SEARCH(".xls",_xlfn.FORMULATEXT('Aggregate products'!I32)))</f>
        <v>0</v>
      </c>
      <c r="AB31" t="b">
        <f ca="1">ISNUMBER(SEARCH(".xls",_xlfn.FORMULATEXT('Aggregate products'!J32)))</f>
        <v>0</v>
      </c>
      <c r="AC31" t="b">
        <f ca="1">ISNUMBER(SEARCH(".xls",_xlfn.FORMULATEXT('Aggregate products'!K32)))</f>
        <v>0</v>
      </c>
      <c r="AD31" t="b">
        <f ca="1">ISNUMBER(SEARCH(".xls",_xlfn.FORMULATEXT('Aggregate products'!L32)))</f>
        <v>0</v>
      </c>
      <c r="AE31" t="b">
        <f ca="1">ISNUMBER(SEARCH(".xls",_xlfn.FORMULATEXT('Aggregate products'!M32)))</f>
        <v>0</v>
      </c>
      <c r="AF31" t="b">
        <f ca="1">ISNUMBER(SEARCH(".xls",_xlfn.FORMULATEXT('Aggregate products'!N32)))</f>
        <v>0</v>
      </c>
      <c r="AG31" s="38" t="b">
        <f ca="1">ISNUMBER(SEARCH(".xls",_xlfn.FORMULATEXT('Aggregate products'!O32)))</f>
        <v>0</v>
      </c>
    </row>
    <row r="32" spans="1:33" x14ac:dyDescent="0.3">
      <c r="N32" s="6" t="str">
        <f>'Aggregate products'!AE24</f>
        <v/>
      </c>
      <c r="O32" t="str">
        <f t="shared" si="0"/>
        <v/>
      </c>
      <c r="Q32" s="36" t="str">
        <f>IF('Aggregate products'!D33+'Aggregate products'!E33&lt;'Aggregate products'!G33, "Error", "")</f>
        <v/>
      </c>
      <c r="U32" s="37" t="b">
        <f ca="1">ISNUMBER(SEARCH(".xls",_xlfn.FORMULATEXT('Aggregate products'!C33)))</f>
        <v>0</v>
      </c>
      <c r="V32" t="b">
        <f ca="1">ISNUMBER(SEARCH(".xls",_xlfn.FORMULATEXT('Aggregate products'!D33)))</f>
        <v>0</v>
      </c>
      <c r="W32" t="b">
        <f ca="1">ISNUMBER(SEARCH(".xls",_xlfn.FORMULATEXT('Aggregate products'!E33)))</f>
        <v>0</v>
      </c>
      <c r="X32" t="b">
        <f ca="1">ISNUMBER(SEARCH(".xls",_xlfn.FORMULATEXT('Aggregate products'!F33)))</f>
        <v>0</v>
      </c>
      <c r="Y32" t="b">
        <f ca="1">ISNUMBER(SEARCH(".xls",_xlfn.FORMULATEXT('Aggregate products'!G33)))</f>
        <v>0</v>
      </c>
      <c r="Z32" t="b">
        <f ca="1">ISNUMBER(SEARCH(".xls",_xlfn.FORMULATEXT('Aggregate products'!H33)))</f>
        <v>0</v>
      </c>
      <c r="AA32" t="b">
        <f ca="1">ISNUMBER(SEARCH(".xls",_xlfn.FORMULATEXT('Aggregate products'!I33)))</f>
        <v>0</v>
      </c>
      <c r="AB32" t="b">
        <f ca="1">ISNUMBER(SEARCH(".xls",_xlfn.FORMULATEXT('Aggregate products'!J33)))</f>
        <v>0</v>
      </c>
      <c r="AC32" t="b">
        <f ca="1">ISNUMBER(SEARCH(".xls",_xlfn.FORMULATEXT('Aggregate products'!K33)))</f>
        <v>0</v>
      </c>
      <c r="AD32" t="b">
        <f ca="1">ISNUMBER(SEARCH(".xls",_xlfn.FORMULATEXT('Aggregate products'!L33)))</f>
        <v>0</v>
      </c>
      <c r="AE32" t="b">
        <f ca="1">ISNUMBER(SEARCH(".xls",_xlfn.FORMULATEXT('Aggregate products'!M33)))</f>
        <v>0</v>
      </c>
      <c r="AF32" t="b">
        <f ca="1">ISNUMBER(SEARCH(".xls",_xlfn.FORMULATEXT('Aggregate products'!N33)))</f>
        <v>0</v>
      </c>
      <c r="AG32" s="38" t="b">
        <f ca="1">ISNUMBER(SEARCH(".xls",_xlfn.FORMULATEXT('Aggregate products'!O33)))</f>
        <v>0</v>
      </c>
    </row>
    <row r="33" spans="14:33" x14ac:dyDescent="0.3">
      <c r="N33" s="6" t="str">
        <f>'Aggregate products'!AE25</f>
        <v/>
      </c>
      <c r="O33" t="str">
        <f t="shared" si="0"/>
        <v/>
      </c>
      <c r="Q33" s="36" t="str">
        <f>IF('Aggregate products'!D34+'Aggregate products'!E34&lt;'Aggregate products'!G34, "Error", "")</f>
        <v/>
      </c>
      <c r="U33" s="37" t="b">
        <f ca="1">ISNUMBER(SEARCH(".xls",_xlfn.FORMULATEXT('Aggregate products'!C34)))</f>
        <v>0</v>
      </c>
      <c r="V33" t="b">
        <f ca="1">ISNUMBER(SEARCH(".xls",_xlfn.FORMULATEXT('Aggregate products'!D34)))</f>
        <v>0</v>
      </c>
      <c r="W33" t="b">
        <f ca="1">ISNUMBER(SEARCH(".xls",_xlfn.FORMULATEXT('Aggregate products'!E34)))</f>
        <v>0</v>
      </c>
      <c r="X33" t="b">
        <f ca="1">ISNUMBER(SEARCH(".xls",_xlfn.FORMULATEXT('Aggregate products'!F34)))</f>
        <v>0</v>
      </c>
      <c r="Y33" t="b">
        <f ca="1">ISNUMBER(SEARCH(".xls",_xlfn.FORMULATEXT('Aggregate products'!G34)))</f>
        <v>0</v>
      </c>
      <c r="Z33" t="b">
        <f ca="1">ISNUMBER(SEARCH(".xls",_xlfn.FORMULATEXT('Aggregate products'!H34)))</f>
        <v>0</v>
      </c>
      <c r="AA33" t="b">
        <f ca="1">ISNUMBER(SEARCH(".xls",_xlfn.FORMULATEXT('Aggregate products'!I34)))</f>
        <v>0</v>
      </c>
      <c r="AB33" t="b">
        <f ca="1">ISNUMBER(SEARCH(".xls",_xlfn.FORMULATEXT('Aggregate products'!J34)))</f>
        <v>0</v>
      </c>
      <c r="AC33" t="b">
        <f ca="1">ISNUMBER(SEARCH(".xls",_xlfn.FORMULATEXT('Aggregate products'!K34)))</f>
        <v>0</v>
      </c>
      <c r="AD33" t="b">
        <f ca="1">ISNUMBER(SEARCH(".xls",_xlfn.FORMULATEXT('Aggregate products'!L34)))</f>
        <v>0</v>
      </c>
      <c r="AE33" t="b">
        <f ca="1">ISNUMBER(SEARCH(".xls",_xlfn.FORMULATEXT('Aggregate products'!M34)))</f>
        <v>0</v>
      </c>
      <c r="AF33" t="b">
        <f ca="1">ISNUMBER(SEARCH(".xls",_xlfn.FORMULATEXT('Aggregate products'!N34)))</f>
        <v>0</v>
      </c>
      <c r="AG33" s="38" t="b">
        <f ca="1">ISNUMBER(SEARCH(".xls",_xlfn.FORMULATEXT('Aggregate products'!O34)))</f>
        <v>0</v>
      </c>
    </row>
    <row r="34" spans="14:33" x14ac:dyDescent="0.3">
      <c r="N34" s="6" t="str">
        <f>'Aggregate products'!AE26</f>
        <v/>
      </c>
      <c r="O34" t="str">
        <f t="shared" si="0"/>
        <v/>
      </c>
      <c r="Q34" s="36" t="str">
        <f>IF('Aggregate products'!D35+'Aggregate products'!E35&lt;'Aggregate products'!G35, "Error", "")</f>
        <v/>
      </c>
      <c r="U34" s="37" t="b">
        <f ca="1">ISNUMBER(SEARCH(".xls",_xlfn.FORMULATEXT('Aggregate products'!C35)))</f>
        <v>0</v>
      </c>
      <c r="V34" t="b">
        <f ca="1">ISNUMBER(SEARCH(".xls",_xlfn.FORMULATEXT('Aggregate products'!D35)))</f>
        <v>0</v>
      </c>
      <c r="W34" t="b">
        <f ca="1">ISNUMBER(SEARCH(".xls",_xlfn.FORMULATEXT('Aggregate products'!E35)))</f>
        <v>0</v>
      </c>
      <c r="X34" t="b">
        <f ca="1">ISNUMBER(SEARCH(".xls",_xlfn.FORMULATEXT('Aggregate products'!F35)))</f>
        <v>0</v>
      </c>
      <c r="Y34" t="b">
        <f ca="1">ISNUMBER(SEARCH(".xls",_xlfn.FORMULATEXT('Aggregate products'!G35)))</f>
        <v>0</v>
      </c>
      <c r="Z34" t="b">
        <f ca="1">ISNUMBER(SEARCH(".xls",_xlfn.FORMULATEXT('Aggregate products'!H35)))</f>
        <v>0</v>
      </c>
      <c r="AA34" t="b">
        <f ca="1">ISNUMBER(SEARCH(".xls",_xlfn.FORMULATEXT('Aggregate products'!I35)))</f>
        <v>0</v>
      </c>
      <c r="AB34" t="b">
        <f ca="1">ISNUMBER(SEARCH(".xls",_xlfn.FORMULATEXT('Aggregate products'!J35)))</f>
        <v>0</v>
      </c>
      <c r="AC34" t="b">
        <f ca="1">ISNUMBER(SEARCH(".xls",_xlfn.FORMULATEXT('Aggregate products'!K35)))</f>
        <v>0</v>
      </c>
      <c r="AD34" t="b">
        <f ca="1">ISNUMBER(SEARCH(".xls",_xlfn.FORMULATEXT('Aggregate products'!L35)))</f>
        <v>0</v>
      </c>
      <c r="AE34" t="b">
        <f ca="1">ISNUMBER(SEARCH(".xls",_xlfn.FORMULATEXT('Aggregate products'!M35)))</f>
        <v>0</v>
      </c>
      <c r="AF34" t="b">
        <f ca="1">ISNUMBER(SEARCH(".xls",_xlfn.FORMULATEXT('Aggregate products'!N35)))</f>
        <v>0</v>
      </c>
      <c r="AG34" s="38" t="b">
        <f ca="1">ISNUMBER(SEARCH(".xls",_xlfn.FORMULATEXT('Aggregate products'!O35)))</f>
        <v>0</v>
      </c>
    </row>
    <row r="35" spans="14:33" x14ac:dyDescent="0.3">
      <c r="N35" s="6" t="str">
        <f>'Aggregate products'!AE27</f>
        <v/>
      </c>
      <c r="O35" t="str">
        <f t="shared" si="0"/>
        <v/>
      </c>
      <c r="Q35" s="36" t="str">
        <f>IF('Aggregate products'!D36+'Aggregate products'!E36&lt;'Aggregate products'!G36, "Error", "")</f>
        <v/>
      </c>
      <c r="U35" s="37" t="b">
        <f ca="1">ISNUMBER(SEARCH(".xls",_xlfn.FORMULATEXT('Aggregate products'!C36)))</f>
        <v>0</v>
      </c>
      <c r="V35" t="b">
        <f ca="1">ISNUMBER(SEARCH(".xls",_xlfn.FORMULATEXT('Aggregate products'!D36)))</f>
        <v>0</v>
      </c>
      <c r="W35" t="b">
        <f ca="1">ISNUMBER(SEARCH(".xls",_xlfn.FORMULATEXT('Aggregate products'!E36)))</f>
        <v>0</v>
      </c>
      <c r="X35" t="b">
        <f ca="1">ISNUMBER(SEARCH(".xls",_xlfn.FORMULATEXT('Aggregate products'!F36)))</f>
        <v>0</v>
      </c>
      <c r="Y35" t="b">
        <f ca="1">ISNUMBER(SEARCH(".xls",_xlfn.FORMULATEXT('Aggregate products'!G36)))</f>
        <v>0</v>
      </c>
      <c r="Z35" t="b">
        <f ca="1">ISNUMBER(SEARCH(".xls",_xlfn.FORMULATEXT('Aggregate products'!H36)))</f>
        <v>0</v>
      </c>
      <c r="AA35" t="b">
        <f ca="1">ISNUMBER(SEARCH(".xls",_xlfn.FORMULATEXT('Aggregate products'!I36)))</f>
        <v>0</v>
      </c>
      <c r="AB35" t="b">
        <f ca="1">ISNUMBER(SEARCH(".xls",_xlfn.FORMULATEXT('Aggregate products'!J36)))</f>
        <v>0</v>
      </c>
      <c r="AC35" t="b">
        <f ca="1">ISNUMBER(SEARCH(".xls",_xlfn.FORMULATEXT('Aggregate products'!K36)))</f>
        <v>0</v>
      </c>
      <c r="AD35" t="b">
        <f ca="1">ISNUMBER(SEARCH(".xls",_xlfn.FORMULATEXT('Aggregate products'!L36)))</f>
        <v>0</v>
      </c>
      <c r="AE35" t="b">
        <f ca="1">ISNUMBER(SEARCH(".xls",_xlfn.FORMULATEXT('Aggregate products'!M36)))</f>
        <v>0</v>
      </c>
      <c r="AF35" t="b">
        <f ca="1">ISNUMBER(SEARCH(".xls",_xlfn.FORMULATEXT('Aggregate products'!N36)))</f>
        <v>0</v>
      </c>
      <c r="AG35" s="38" t="b">
        <f ca="1">ISNUMBER(SEARCH(".xls",_xlfn.FORMULATEXT('Aggregate products'!O36)))</f>
        <v>0</v>
      </c>
    </row>
    <row r="36" spans="14:33" x14ac:dyDescent="0.3">
      <c r="N36" s="6" t="str">
        <f>'Aggregate products'!AE28</f>
        <v/>
      </c>
      <c r="O36" t="str">
        <f t="shared" si="0"/>
        <v/>
      </c>
      <c r="Q36" s="36" t="str">
        <f>IF('Aggregate products'!D37+'Aggregate products'!E37&lt;'Aggregate products'!G37, "Error", "")</f>
        <v/>
      </c>
      <c r="U36" s="37" t="b">
        <f ca="1">ISNUMBER(SEARCH(".xls",_xlfn.FORMULATEXT('Aggregate products'!C37)))</f>
        <v>0</v>
      </c>
      <c r="V36" t="b">
        <f ca="1">ISNUMBER(SEARCH(".xls",_xlfn.FORMULATEXT('Aggregate products'!D37)))</f>
        <v>0</v>
      </c>
      <c r="W36" t="b">
        <f ca="1">ISNUMBER(SEARCH(".xls",_xlfn.FORMULATEXT('Aggregate products'!E37)))</f>
        <v>0</v>
      </c>
      <c r="X36" t="b">
        <f ca="1">ISNUMBER(SEARCH(".xls",_xlfn.FORMULATEXT('Aggregate products'!F37)))</f>
        <v>0</v>
      </c>
      <c r="Y36" t="b">
        <f ca="1">ISNUMBER(SEARCH(".xls",_xlfn.FORMULATEXT('Aggregate products'!G37)))</f>
        <v>0</v>
      </c>
      <c r="Z36" t="b">
        <f ca="1">ISNUMBER(SEARCH(".xls",_xlfn.FORMULATEXT('Aggregate products'!H37)))</f>
        <v>0</v>
      </c>
      <c r="AA36" t="b">
        <f ca="1">ISNUMBER(SEARCH(".xls",_xlfn.FORMULATEXT('Aggregate products'!I37)))</f>
        <v>0</v>
      </c>
      <c r="AB36" t="b">
        <f ca="1">ISNUMBER(SEARCH(".xls",_xlfn.FORMULATEXT('Aggregate products'!J37)))</f>
        <v>0</v>
      </c>
      <c r="AC36" t="b">
        <f ca="1">ISNUMBER(SEARCH(".xls",_xlfn.FORMULATEXT('Aggregate products'!K37)))</f>
        <v>0</v>
      </c>
      <c r="AD36" t="b">
        <f ca="1">ISNUMBER(SEARCH(".xls",_xlfn.FORMULATEXT('Aggregate products'!L37)))</f>
        <v>0</v>
      </c>
      <c r="AE36" t="b">
        <f ca="1">ISNUMBER(SEARCH(".xls",_xlfn.FORMULATEXT('Aggregate products'!M37)))</f>
        <v>0</v>
      </c>
      <c r="AF36" t="b">
        <f ca="1">ISNUMBER(SEARCH(".xls",_xlfn.FORMULATEXT('Aggregate products'!N37)))</f>
        <v>0</v>
      </c>
      <c r="AG36" s="38" t="b">
        <f ca="1">ISNUMBER(SEARCH(".xls",_xlfn.FORMULATEXT('Aggregate products'!O37)))</f>
        <v>0</v>
      </c>
    </row>
    <row r="37" spans="14:33" x14ac:dyDescent="0.3">
      <c r="N37" s="6" t="str">
        <f>'Aggregate products'!AE29</f>
        <v/>
      </c>
      <c r="O37" t="str">
        <f t="shared" si="0"/>
        <v/>
      </c>
      <c r="Q37" s="36" t="str">
        <f>IF('Aggregate products'!D38+'Aggregate products'!E38&lt;'Aggregate products'!G38, "Error", "")</f>
        <v/>
      </c>
      <c r="U37" s="37" t="b">
        <f ca="1">ISNUMBER(SEARCH(".xls",_xlfn.FORMULATEXT('Aggregate products'!C38)))</f>
        <v>0</v>
      </c>
      <c r="V37" t="b">
        <f ca="1">ISNUMBER(SEARCH(".xls",_xlfn.FORMULATEXT('Aggregate products'!D38)))</f>
        <v>0</v>
      </c>
      <c r="W37" t="b">
        <f ca="1">ISNUMBER(SEARCH(".xls",_xlfn.FORMULATEXT('Aggregate products'!E38)))</f>
        <v>0</v>
      </c>
      <c r="X37" t="b">
        <f ca="1">ISNUMBER(SEARCH(".xls",_xlfn.FORMULATEXT('Aggregate products'!F38)))</f>
        <v>0</v>
      </c>
      <c r="Y37" t="b">
        <f ca="1">ISNUMBER(SEARCH(".xls",_xlfn.FORMULATEXT('Aggregate products'!G38)))</f>
        <v>0</v>
      </c>
      <c r="Z37" t="b">
        <f ca="1">ISNUMBER(SEARCH(".xls",_xlfn.FORMULATEXT('Aggregate products'!H38)))</f>
        <v>0</v>
      </c>
      <c r="AA37" t="b">
        <f ca="1">ISNUMBER(SEARCH(".xls",_xlfn.FORMULATEXT('Aggregate products'!I38)))</f>
        <v>0</v>
      </c>
      <c r="AB37" t="b">
        <f ca="1">ISNUMBER(SEARCH(".xls",_xlfn.FORMULATEXT('Aggregate products'!J38)))</f>
        <v>0</v>
      </c>
      <c r="AC37" t="b">
        <f ca="1">ISNUMBER(SEARCH(".xls",_xlfn.FORMULATEXT('Aggregate products'!K38)))</f>
        <v>0</v>
      </c>
      <c r="AD37" t="b">
        <f ca="1">ISNUMBER(SEARCH(".xls",_xlfn.FORMULATEXT('Aggregate products'!L38)))</f>
        <v>0</v>
      </c>
      <c r="AE37" t="b">
        <f ca="1">ISNUMBER(SEARCH(".xls",_xlfn.FORMULATEXT('Aggregate products'!M38)))</f>
        <v>0</v>
      </c>
      <c r="AF37" t="b">
        <f ca="1">ISNUMBER(SEARCH(".xls",_xlfn.FORMULATEXT('Aggregate products'!N38)))</f>
        <v>0</v>
      </c>
      <c r="AG37" s="38" t="b">
        <f ca="1">ISNUMBER(SEARCH(".xls",_xlfn.FORMULATEXT('Aggregate products'!O38)))</f>
        <v>0</v>
      </c>
    </row>
    <row r="38" spans="14:33" x14ac:dyDescent="0.3">
      <c r="N38" s="6" t="str">
        <f>'Aggregate products'!AE30</f>
        <v/>
      </c>
      <c r="O38" t="str">
        <f t="shared" si="0"/>
        <v/>
      </c>
      <c r="Q38" s="36" t="str">
        <f>IF('Aggregate products'!D39+'Aggregate products'!E39&lt;'Aggregate products'!G39, "Error", "")</f>
        <v/>
      </c>
      <c r="U38" s="37" t="b">
        <f ca="1">ISNUMBER(SEARCH(".xls",_xlfn.FORMULATEXT('Aggregate products'!C39)))</f>
        <v>0</v>
      </c>
      <c r="V38" t="b">
        <f ca="1">ISNUMBER(SEARCH(".xls",_xlfn.FORMULATEXT('Aggregate products'!D39)))</f>
        <v>0</v>
      </c>
      <c r="W38" t="b">
        <f ca="1">ISNUMBER(SEARCH(".xls",_xlfn.FORMULATEXT('Aggregate products'!E39)))</f>
        <v>0</v>
      </c>
      <c r="X38" t="b">
        <f ca="1">ISNUMBER(SEARCH(".xls",_xlfn.FORMULATEXT('Aggregate products'!F39)))</f>
        <v>0</v>
      </c>
      <c r="Y38" t="b">
        <f ca="1">ISNUMBER(SEARCH(".xls",_xlfn.FORMULATEXT('Aggregate products'!G39)))</f>
        <v>0</v>
      </c>
      <c r="Z38" t="b">
        <f ca="1">ISNUMBER(SEARCH(".xls",_xlfn.FORMULATEXT('Aggregate products'!H39)))</f>
        <v>0</v>
      </c>
      <c r="AA38" t="b">
        <f ca="1">ISNUMBER(SEARCH(".xls",_xlfn.FORMULATEXT('Aggregate products'!I39)))</f>
        <v>0</v>
      </c>
      <c r="AB38" t="b">
        <f ca="1">ISNUMBER(SEARCH(".xls",_xlfn.FORMULATEXT('Aggregate products'!J39)))</f>
        <v>0</v>
      </c>
      <c r="AC38" t="b">
        <f ca="1">ISNUMBER(SEARCH(".xls",_xlfn.FORMULATEXT('Aggregate products'!K39)))</f>
        <v>0</v>
      </c>
      <c r="AD38" t="b">
        <f ca="1">ISNUMBER(SEARCH(".xls",_xlfn.FORMULATEXT('Aggregate products'!L39)))</f>
        <v>0</v>
      </c>
      <c r="AE38" t="b">
        <f ca="1">ISNUMBER(SEARCH(".xls",_xlfn.FORMULATEXT('Aggregate products'!M39)))</f>
        <v>0</v>
      </c>
      <c r="AF38" t="b">
        <f ca="1">ISNUMBER(SEARCH(".xls",_xlfn.FORMULATEXT('Aggregate products'!N39)))</f>
        <v>0</v>
      </c>
      <c r="AG38" s="38" t="b">
        <f ca="1">ISNUMBER(SEARCH(".xls",_xlfn.FORMULATEXT('Aggregate products'!O39)))</f>
        <v>0</v>
      </c>
    </row>
    <row r="39" spans="14:33" x14ac:dyDescent="0.3">
      <c r="N39" s="6" t="str">
        <f>'Aggregate products'!AE31</f>
        <v/>
      </c>
      <c r="O39" t="str">
        <f t="shared" si="0"/>
        <v/>
      </c>
      <c r="Q39" s="36" t="str">
        <f>IF('Aggregate products'!D40+'Aggregate products'!E40&lt;'Aggregate products'!G40, "Error", "")</f>
        <v/>
      </c>
      <c r="U39" s="37" t="b">
        <f ca="1">ISNUMBER(SEARCH(".xls",_xlfn.FORMULATEXT('Aggregate products'!C40)))</f>
        <v>0</v>
      </c>
      <c r="V39" t="b">
        <f ca="1">ISNUMBER(SEARCH(".xls",_xlfn.FORMULATEXT('Aggregate products'!D40)))</f>
        <v>0</v>
      </c>
      <c r="W39" t="b">
        <f ca="1">ISNUMBER(SEARCH(".xls",_xlfn.FORMULATEXT('Aggregate products'!E40)))</f>
        <v>0</v>
      </c>
      <c r="X39" t="b">
        <f ca="1">ISNUMBER(SEARCH(".xls",_xlfn.FORMULATEXT('Aggregate products'!F40)))</f>
        <v>0</v>
      </c>
      <c r="Y39" t="b">
        <f ca="1">ISNUMBER(SEARCH(".xls",_xlfn.FORMULATEXT('Aggregate products'!G40)))</f>
        <v>0</v>
      </c>
      <c r="Z39" t="b">
        <f ca="1">ISNUMBER(SEARCH(".xls",_xlfn.FORMULATEXT('Aggregate products'!H40)))</f>
        <v>0</v>
      </c>
      <c r="AA39" t="b">
        <f ca="1">ISNUMBER(SEARCH(".xls",_xlfn.FORMULATEXT('Aggregate products'!I40)))</f>
        <v>0</v>
      </c>
      <c r="AB39" t="b">
        <f ca="1">ISNUMBER(SEARCH(".xls",_xlfn.FORMULATEXT('Aggregate products'!J40)))</f>
        <v>0</v>
      </c>
      <c r="AC39" t="b">
        <f ca="1">ISNUMBER(SEARCH(".xls",_xlfn.FORMULATEXT('Aggregate products'!K40)))</f>
        <v>0</v>
      </c>
      <c r="AD39" t="b">
        <f ca="1">ISNUMBER(SEARCH(".xls",_xlfn.FORMULATEXT('Aggregate products'!L40)))</f>
        <v>0</v>
      </c>
      <c r="AE39" t="b">
        <f ca="1">ISNUMBER(SEARCH(".xls",_xlfn.FORMULATEXT('Aggregate products'!M40)))</f>
        <v>0</v>
      </c>
      <c r="AF39" t="b">
        <f ca="1">ISNUMBER(SEARCH(".xls",_xlfn.FORMULATEXT('Aggregate products'!N40)))</f>
        <v>0</v>
      </c>
      <c r="AG39" s="38" t="b">
        <f ca="1">ISNUMBER(SEARCH(".xls",_xlfn.FORMULATEXT('Aggregate products'!O40)))</f>
        <v>0</v>
      </c>
    </row>
    <row r="40" spans="14:33" x14ac:dyDescent="0.3">
      <c r="N40" s="6" t="str">
        <f>'Aggregate products'!AE32</f>
        <v/>
      </c>
      <c r="O40" t="str">
        <f t="shared" si="0"/>
        <v/>
      </c>
      <c r="Q40" s="36" t="str">
        <f>IF('Aggregate products'!D41+'Aggregate products'!E41&lt;'Aggregate products'!G41, "Error", "")</f>
        <v/>
      </c>
      <c r="U40" s="37" t="b">
        <f ca="1">ISNUMBER(SEARCH(".xls",_xlfn.FORMULATEXT('Aggregate products'!C41)))</f>
        <v>0</v>
      </c>
      <c r="V40" t="b">
        <f ca="1">ISNUMBER(SEARCH(".xls",_xlfn.FORMULATEXT('Aggregate products'!D41)))</f>
        <v>0</v>
      </c>
      <c r="W40" t="b">
        <f ca="1">ISNUMBER(SEARCH(".xls",_xlfn.FORMULATEXT('Aggregate products'!E41)))</f>
        <v>0</v>
      </c>
      <c r="X40" t="b">
        <f ca="1">ISNUMBER(SEARCH(".xls",_xlfn.FORMULATEXT('Aggregate products'!F41)))</f>
        <v>0</v>
      </c>
      <c r="Y40" t="b">
        <f ca="1">ISNUMBER(SEARCH(".xls",_xlfn.FORMULATEXT('Aggregate products'!G41)))</f>
        <v>0</v>
      </c>
      <c r="Z40" t="b">
        <f ca="1">ISNUMBER(SEARCH(".xls",_xlfn.FORMULATEXT('Aggregate products'!H41)))</f>
        <v>0</v>
      </c>
      <c r="AA40" t="b">
        <f ca="1">ISNUMBER(SEARCH(".xls",_xlfn.FORMULATEXT('Aggregate products'!I41)))</f>
        <v>0</v>
      </c>
      <c r="AB40" t="b">
        <f ca="1">ISNUMBER(SEARCH(".xls",_xlfn.FORMULATEXT('Aggregate products'!J41)))</f>
        <v>0</v>
      </c>
      <c r="AC40" t="b">
        <f ca="1">ISNUMBER(SEARCH(".xls",_xlfn.FORMULATEXT('Aggregate products'!K41)))</f>
        <v>0</v>
      </c>
      <c r="AD40" t="b">
        <f ca="1">ISNUMBER(SEARCH(".xls",_xlfn.FORMULATEXT('Aggregate products'!L41)))</f>
        <v>0</v>
      </c>
      <c r="AE40" t="b">
        <f ca="1">ISNUMBER(SEARCH(".xls",_xlfn.FORMULATEXT('Aggregate products'!M41)))</f>
        <v>0</v>
      </c>
      <c r="AF40" t="b">
        <f ca="1">ISNUMBER(SEARCH(".xls",_xlfn.FORMULATEXT('Aggregate products'!N41)))</f>
        <v>0</v>
      </c>
      <c r="AG40" s="38" t="b">
        <f ca="1">ISNUMBER(SEARCH(".xls",_xlfn.FORMULATEXT('Aggregate products'!O41)))</f>
        <v>0</v>
      </c>
    </row>
    <row r="41" spans="14:33" x14ac:dyDescent="0.3">
      <c r="N41" s="6" t="str">
        <f>'Aggregate products'!AE33</f>
        <v/>
      </c>
      <c r="O41" t="str">
        <f t="shared" si="0"/>
        <v/>
      </c>
      <c r="Q41" s="36" t="str">
        <f>IF('Aggregate products'!D42+'Aggregate products'!E42&lt;'Aggregate products'!G42, "Error", "")</f>
        <v/>
      </c>
      <c r="U41" s="37" t="b">
        <f ca="1">ISNUMBER(SEARCH(".xls",_xlfn.FORMULATEXT('Aggregate products'!C42)))</f>
        <v>0</v>
      </c>
      <c r="V41" t="b">
        <f ca="1">ISNUMBER(SEARCH(".xls",_xlfn.FORMULATEXT('Aggregate products'!D42)))</f>
        <v>0</v>
      </c>
      <c r="W41" t="b">
        <f ca="1">ISNUMBER(SEARCH(".xls",_xlfn.FORMULATEXT('Aggregate products'!E42)))</f>
        <v>0</v>
      </c>
      <c r="X41" t="b">
        <f ca="1">ISNUMBER(SEARCH(".xls",_xlfn.FORMULATEXT('Aggregate products'!F42)))</f>
        <v>0</v>
      </c>
      <c r="Y41" t="b">
        <f ca="1">ISNUMBER(SEARCH(".xls",_xlfn.FORMULATEXT('Aggregate products'!G42)))</f>
        <v>0</v>
      </c>
      <c r="Z41" t="b">
        <f ca="1">ISNUMBER(SEARCH(".xls",_xlfn.FORMULATEXT('Aggregate products'!H42)))</f>
        <v>0</v>
      </c>
      <c r="AA41" t="b">
        <f ca="1">ISNUMBER(SEARCH(".xls",_xlfn.FORMULATEXT('Aggregate products'!I42)))</f>
        <v>0</v>
      </c>
      <c r="AB41" t="b">
        <f ca="1">ISNUMBER(SEARCH(".xls",_xlfn.FORMULATEXT('Aggregate products'!J42)))</f>
        <v>0</v>
      </c>
      <c r="AC41" t="b">
        <f ca="1">ISNUMBER(SEARCH(".xls",_xlfn.FORMULATEXT('Aggregate products'!K42)))</f>
        <v>0</v>
      </c>
      <c r="AD41" t="b">
        <f ca="1">ISNUMBER(SEARCH(".xls",_xlfn.FORMULATEXT('Aggregate products'!L42)))</f>
        <v>0</v>
      </c>
      <c r="AE41" t="b">
        <f ca="1">ISNUMBER(SEARCH(".xls",_xlfn.FORMULATEXT('Aggregate products'!M42)))</f>
        <v>0</v>
      </c>
      <c r="AF41" t="b">
        <f ca="1">ISNUMBER(SEARCH(".xls",_xlfn.FORMULATEXT('Aggregate products'!N42)))</f>
        <v>0</v>
      </c>
      <c r="AG41" s="38" t="b">
        <f ca="1">ISNUMBER(SEARCH(".xls",_xlfn.FORMULATEXT('Aggregate products'!O42)))</f>
        <v>0</v>
      </c>
    </row>
    <row r="42" spans="14:33" x14ac:dyDescent="0.3">
      <c r="N42" s="6" t="str">
        <f>'Aggregate products'!AE34</f>
        <v/>
      </c>
      <c r="O42" t="str">
        <f t="shared" si="0"/>
        <v/>
      </c>
      <c r="Q42" s="36" t="str">
        <f>IF('Aggregate products'!D43+'Aggregate products'!E43&lt;'Aggregate products'!G43, "Error", "")</f>
        <v/>
      </c>
      <c r="U42" s="37" t="b">
        <f ca="1">ISNUMBER(SEARCH(".xls",_xlfn.FORMULATEXT('Aggregate products'!C43)))</f>
        <v>0</v>
      </c>
      <c r="V42" t="b">
        <f ca="1">ISNUMBER(SEARCH(".xls",_xlfn.FORMULATEXT('Aggregate products'!D43)))</f>
        <v>0</v>
      </c>
      <c r="W42" t="b">
        <f ca="1">ISNUMBER(SEARCH(".xls",_xlfn.FORMULATEXT('Aggregate products'!E43)))</f>
        <v>0</v>
      </c>
      <c r="X42" t="b">
        <f ca="1">ISNUMBER(SEARCH(".xls",_xlfn.FORMULATEXT('Aggregate products'!F43)))</f>
        <v>0</v>
      </c>
      <c r="Y42" t="b">
        <f ca="1">ISNUMBER(SEARCH(".xls",_xlfn.FORMULATEXT('Aggregate products'!G43)))</f>
        <v>0</v>
      </c>
      <c r="Z42" t="b">
        <f ca="1">ISNUMBER(SEARCH(".xls",_xlfn.FORMULATEXT('Aggregate products'!H43)))</f>
        <v>0</v>
      </c>
      <c r="AA42" t="b">
        <f ca="1">ISNUMBER(SEARCH(".xls",_xlfn.FORMULATEXT('Aggregate products'!I43)))</f>
        <v>0</v>
      </c>
      <c r="AB42" t="b">
        <f ca="1">ISNUMBER(SEARCH(".xls",_xlfn.FORMULATEXT('Aggregate products'!J43)))</f>
        <v>0</v>
      </c>
      <c r="AC42" t="b">
        <f ca="1">ISNUMBER(SEARCH(".xls",_xlfn.FORMULATEXT('Aggregate products'!K43)))</f>
        <v>0</v>
      </c>
      <c r="AD42" t="b">
        <f ca="1">ISNUMBER(SEARCH(".xls",_xlfn.FORMULATEXT('Aggregate products'!L43)))</f>
        <v>0</v>
      </c>
      <c r="AE42" t="b">
        <f ca="1">ISNUMBER(SEARCH(".xls",_xlfn.FORMULATEXT('Aggregate products'!M43)))</f>
        <v>0</v>
      </c>
      <c r="AF42" t="b">
        <f ca="1">ISNUMBER(SEARCH(".xls",_xlfn.FORMULATEXT('Aggregate products'!N43)))</f>
        <v>0</v>
      </c>
      <c r="AG42" s="38" t="b">
        <f ca="1">ISNUMBER(SEARCH(".xls",_xlfn.FORMULATEXT('Aggregate products'!O43)))</f>
        <v>0</v>
      </c>
    </row>
    <row r="43" spans="14:33" x14ac:dyDescent="0.3">
      <c r="N43" s="6" t="str">
        <f>'Aggregate products'!AE35</f>
        <v/>
      </c>
      <c r="O43" t="str">
        <f t="shared" si="0"/>
        <v/>
      </c>
      <c r="Q43" s="36" t="str">
        <f>IF('Aggregate products'!D44+'Aggregate products'!E44&lt;'Aggregate products'!G44, "Error", "")</f>
        <v/>
      </c>
      <c r="U43" s="37" t="b">
        <f ca="1">ISNUMBER(SEARCH(".xls",_xlfn.FORMULATEXT('Aggregate products'!C44)))</f>
        <v>0</v>
      </c>
      <c r="V43" t="b">
        <f ca="1">ISNUMBER(SEARCH(".xls",_xlfn.FORMULATEXT('Aggregate products'!D44)))</f>
        <v>0</v>
      </c>
      <c r="W43" t="b">
        <f ca="1">ISNUMBER(SEARCH(".xls",_xlfn.FORMULATEXT('Aggregate products'!E44)))</f>
        <v>0</v>
      </c>
      <c r="X43" t="b">
        <f ca="1">ISNUMBER(SEARCH(".xls",_xlfn.FORMULATEXT('Aggregate products'!F44)))</f>
        <v>0</v>
      </c>
      <c r="Y43" t="b">
        <f ca="1">ISNUMBER(SEARCH(".xls",_xlfn.FORMULATEXT('Aggregate products'!G44)))</f>
        <v>0</v>
      </c>
      <c r="Z43" t="b">
        <f ca="1">ISNUMBER(SEARCH(".xls",_xlfn.FORMULATEXT('Aggregate products'!H44)))</f>
        <v>0</v>
      </c>
      <c r="AA43" t="b">
        <f ca="1">ISNUMBER(SEARCH(".xls",_xlfn.FORMULATEXT('Aggregate products'!I44)))</f>
        <v>0</v>
      </c>
      <c r="AB43" t="b">
        <f ca="1">ISNUMBER(SEARCH(".xls",_xlfn.FORMULATEXT('Aggregate products'!J44)))</f>
        <v>0</v>
      </c>
      <c r="AC43" t="b">
        <f ca="1">ISNUMBER(SEARCH(".xls",_xlfn.FORMULATEXT('Aggregate products'!K44)))</f>
        <v>0</v>
      </c>
      <c r="AD43" t="b">
        <f ca="1">ISNUMBER(SEARCH(".xls",_xlfn.FORMULATEXT('Aggregate products'!L44)))</f>
        <v>0</v>
      </c>
      <c r="AE43" t="b">
        <f ca="1">ISNUMBER(SEARCH(".xls",_xlfn.FORMULATEXT('Aggregate products'!M44)))</f>
        <v>0</v>
      </c>
      <c r="AF43" t="b">
        <f ca="1">ISNUMBER(SEARCH(".xls",_xlfn.FORMULATEXT('Aggregate products'!N44)))</f>
        <v>0</v>
      </c>
      <c r="AG43" s="38" t="b">
        <f ca="1">ISNUMBER(SEARCH(".xls",_xlfn.FORMULATEXT('Aggregate products'!O44)))</f>
        <v>0</v>
      </c>
    </row>
    <row r="44" spans="14:33" x14ac:dyDescent="0.3">
      <c r="N44" s="6" t="str">
        <f>'Aggregate products'!AE36</f>
        <v/>
      </c>
      <c r="O44" t="str">
        <f t="shared" si="0"/>
        <v/>
      </c>
      <c r="Q44" s="36" t="str">
        <f>IF('Aggregate products'!D45+'Aggregate products'!E45&lt;'Aggregate products'!G45, "Error", "")</f>
        <v/>
      </c>
      <c r="U44" s="37" t="b">
        <f ca="1">ISNUMBER(SEARCH(".xls",_xlfn.FORMULATEXT('Aggregate products'!C45)))</f>
        <v>0</v>
      </c>
      <c r="V44" t="b">
        <f ca="1">ISNUMBER(SEARCH(".xls",_xlfn.FORMULATEXT('Aggregate products'!D45)))</f>
        <v>0</v>
      </c>
      <c r="W44" t="b">
        <f ca="1">ISNUMBER(SEARCH(".xls",_xlfn.FORMULATEXT('Aggregate products'!E45)))</f>
        <v>0</v>
      </c>
      <c r="X44" t="b">
        <f ca="1">ISNUMBER(SEARCH(".xls",_xlfn.FORMULATEXT('Aggregate products'!F45)))</f>
        <v>0</v>
      </c>
      <c r="Y44" t="b">
        <f ca="1">ISNUMBER(SEARCH(".xls",_xlfn.FORMULATEXT('Aggregate products'!G45)))</f>
        <v>0</v>
      </c>
      <c r="Z44" t="b">
        <f ca="1">ISNUMBER(SEARCH(".xls",_xlfn.FORMULATEXT('Aggregate products'!H45)))</f>
        <v>0</v>
      </c>
      <c r="AA44" t="b">
        <f ca="1">ISNUMBER(SEARCH(".xls",_xlfn.FORMULATEXT('Aggregate products'!I45)))</f>
        <v>0</v>
      </c>
      <c r="AB44" t="b">
        <f ca="1">ISNUMBER(SEARCH(".xls",_xlfn.FORMULATEXT('Aggregate products'!J45)))</f>
        <v>0</v>
      </c>
      <c r="AC44" t="b">
        <f ca="1">ISNUMBER(SEARCH(".xls",_xlfn.FORMULATEXT('Aggregate products'!K45)))</f>
        <v>0</v>
      </c>
      <c r="AD44" t="b">
        <f ca="1">ISNUMBER(SEARCH(".xls",_xlfn.FORMULATEXT('Aggregate products'!L45)))</f>
        <v>0</v>
      </c>
      <c r="AE44" t="b">
        <f ca="1">ISNUMBER(SEARCH(".xls",_xlfn.FORMULATEXT('Aggregate products'!M45)))</f>
        <v>0</v>
      </c>
      <c r="AF44" t="b">
        <f ca="1">ISNUMBER(SEARCH(".xls",_xlfn.FORMULATEXT('Aggregate products'!N45)))</f>
        <v>0</v>
      </c>
      <c r="AG44" s="38" t="b">
        <f ca="1">ISNUMBER(SEARCH(".xls",_xlfn.FORMULATEXT('Aggregate products'!O45)))</f>
        <v>0</v>
      </c>
    </row>
    <row r="45" spans="14:33" x14ac:dyDescent="0.3">
      <c r="N45" s="6" t="str">
        <f>'Aggregate products'!AE37</f>
        <v/>
      </c>
      <c r="O45" t="str">
        <f t="shared" si="0"/>
        <v/>
      </c>
      <c r="Q45" s="36" t="str">
        <f>IF('Aggregate products'!D46+'Aggregate products'!E46&lt;'Aggregate products'!G46, "Error", "")</f>
        <v/>
      </c>
      <c r="U45" s="37" t="b">
        <f ca="1">ISNUMBER(SEARCH(".xls",_xlfn.FORMULATEXT('Aggregate products'!C46)))</f>
        <v>0</v>
      </c>
      <c r="V45" t="b">
        <f ca="1">ISNUMBER(SEARCH(".xls",_xlfn.FORMULATEXT('Aggregate products'!D46)))</f>
        <v>0</v>
      </c>
      <c r="W45" t="b">
        <f ca="1">ISNUMBER(SEARCH(".xls",_xlfn.FORMULATEXT('Aggregate products'!E46)))</f>
        <v>0</v>
      </c>
      <c r="X45" t="b">
        <f ca="1">ISNUMBER(SEARCH(".xls",_xlfn.FORMULATEXT('Aggregate products'!F46)))</f>
        <v>0</v>
      </c>
      <c r="Y45" t="b">
        <f ca="1">ISNUMBER(SEARCH(".xls",_xlfn.FORMULATEXT('Aggregate products'!G46)))</f>
        <v>0</v>
      </c>
      <c r="Z45" t="b">
        <f ca="1">ISNUMBER(SEARCH(".xls",_xlfn.FORMULATEXT('Aggregate products'!H46)))</f>
        <v>0</v>
      </c>
      <c r="AA45" t="b">
        <f ca="1">ISNUMBER(SEARCH(".xls",_xlfn.FORMULATEXT('Aggregate products'!I46)))</f>
        <v>0</v>
      </c>
      <c r="AB45" t="b">
        <f ca="1">ISNUMBER(SEARCH(".xls",_xlfn.FORMULATEXT('Aggregate products'!J46)))</f>
        <v>0</v>
      </c>
      <c r="AC45" t="b">
        <f ca="1">ISNUMBER(SEARCH(".xls",_xlfn.FORMULATEXT('Aggregate products'!K46)))</f>
        <v>0</v>
      </c>
      <c r="AD45" t="b">
        <f ca="1">ISNUMBER(SEARCH(".xls",_xlfn.FORMULATEXT('Aggregate products'!L46)))</f>
        <v>0</v>
      </c>
      <c r="AE45" t="b">
        <f ca="1">ISNUMBER(SEARCH(".xls",_xlfn.FORMULATEXT('Aggregate products'!M46)))</f>
        <v>0</v>
      </c>
      <c r="AF45" t="b">
        <f ca="1">ISNUMBER(SEARCH(".xls",_xlfn.FORMULATEXT('Aggregate products'!N46)))</f>
        <v>0</v>
      </c>
      <c r="AG45" s="38" t="b">
        <f ca="1">ISNUMBER(SEARCH(".xls",_xlfn.FORMULATEXT('Aggregate products'!O46)))</f>
        <v>0</v>
      </c>
    </row>
    <row r="46" spans="14:33" x14ac:dyDescent="0.3">
      <c r="N46" s="6" t="str">
        <f>'Aggregate products'!AE38</f>
        <v/>
      </c>
      <c r="O46" t="str">
        <f t="shared" si="0"/>
        <v/>
      </c>
      <c r="Q46" s="36" t="str">
        <f>IF('Aggregate products'!D47+'Aggregate products'!E47&lt;'Aggregate products'!G47, "Error", "")</f>
        <v/>
      </c>
      <c r="U46" s="37" t="b">
        <f ca="1">ISNUMBER(SEARCH(".xls",_xlfn.FORMULATEXT('Aggregate products'!C47)))</f>
        <v>0</v>
      </c>
      <c r="V46" t="b">
        <f ca="1">ISNUMBER(SEARCH(".xls",_xlfn.FORMULATEXT('Aggregate products'!D47)))</f>
        <v>0</v>
      </c>
      <c r="W46" t="b">
        <f ca="1">ISNUMBER(SEARCH(".xls",_xlfn.FORMULATEXT('Aggregate products'!E47)))</f>
        <v>0</v>
      </c>
      <c r="X46" t="b">
        <f ca="1">ISNUMBER(SEARCH(".xls",_xlfn.FORMULATEXT('Aggregate products'!F47)))</f>
        <v>0</v>
      </c>
      <c r="Y46" t="b">
        <f ca="1">ISNUMBER(SEARCH(".xls",_xlfn.FORMULATEXT('Aggregate products'!G47)))</f>
        <v>0</v>
      </c>
      <c r="Z46" t="b">
        <f ca="1">ISNUMBER(SEARCH(".xls",_xlfn.FORMULATEXT('Aggregate products'!H47)))</f>
        <v>0</v>
      </c>
      <c r="AA46" t="b">
        <f ca="1">ISNUMBER(SEARCH(".xls",_xlfn.FORMULATEXT('Aggregate products'!I47)))</f>
        <v>0</v>
      </c>
      <c r="AB46" t="b">
        <f ca="1">ISNUMBER(SEARCH(".xls",_xlfn.FORMULATEXT('Aggregate products'!J47)))</f>
        <v>0</v>
      </c>
      <c r="AC46" t="b">
        <f ca="1">ISNUMBER(SEARCH(".xls",_xlfn.FORMULATEXT('Aggregate products'!K47)))</f>
        <v>0</v>
      </c>
      <c r="AD46" t="b">
        <f ca="1">ISNUMBER(SEARCH(".xls",_xlfn.FORMULATEXT('Aggregate products'!L47)))</f>
        <v>0</v>
      </c>
      <c r="AE46" t="b">
        <f ca="1">ISNUMBER(SEARCH(".xls",_xlfn.FORMULATEXT('Aggregate products'!M47)))</f>
        <v>0</v>
      </c>
      <c r="AF46" t="b">
        <f ca="1">ISNUMBER(SEARCH(".xls",_xlfn.FORMULATEXT('Aggregate products'!N47)))</f>
        <v>0</v>
      </c>
      <c r="AG46" s="38" t="b">
        <f ca="1">ISNUMBER(SEARCH(".xls",_xlfn.FORMULATEXT('Aggregate products'!O47)))</f>
        <v>0</v>
      </c>
    </row>
    <row r="47" spans="14:33" x14ac:dyDescent="0.3">
      <c r="N47" s="6" t="str">
        <f>'Aggregate products'!AE39</f>
        <v/>
      </c>
      <c r="O47" t="str">
        <f t="shared" si="0"/>
        <v/>
      </c>
      <c r="Q47" s="36" t="str">
        <f>IF('Aggregate products'!D48+'Aggregate products'!E48&lt;'Aggregate products'!G48, "Error", "")</f>
        <v/>
      </c>
      <c r="U47" s="37" t="b">
        <f ca="1">ISNUMBER(SEARCH(".xls",_xlfn.FORMULATEXT('Aggregate products'!C48)))</f>
        <v>0</v>
      </c>
      <c r="V47" t="b">
        <f ca="1">ISNUMBER(SEARCH(".xls",_xlfn.FORMULATEXT('Aggregate products'!D48)))</f>
        <v>0</v>
      </c>
      <c r="W47" t="b">
        <f ca="1">ISNUMBER(SEARCH(".xls",_xlfn.FORMULATEXT('Aggregate products'!E48)))</f>
        <v>0</v>
      </c>
      <c r="X47" t="b">
        <f ca="1">ISNUMBER(SEARCH(".xls",_xlfn.FORMULATEXT('Aggregate products'!F48)))</f>
        <v>0</v>
      </c>
      <c r="Y47" t="b">
        <f ca="1">ISNUMBER(SEARCH(".xls",_xlfn.FORMULATEXT('Aggregate products'!G48)))</f>
        <v>0</v>
      </c>
      <c r="Z47" t="b">
        <f ca="1">ISNUMBER(SEARCH(".xls",_xlfn.FORMULATEXT('Aggregate products'!H48)))</f>
        <v>0</v>
      </c>
      <c r="AA47" t="b">
        <f ca="1">ISNUMBER(SEARCH(".xls",_xlfn.FORMULATEXT('Aggregate products'!I48)))</f>
        <v>0</v>
      </c>
      <c r="AB47" t="b">
        <f ca="1">ISNUMBER(SEARCH(".xls",_xlfn.FORMULATEXT('Aggregate products'!J48)))</f>
        <v>0</v>
      </c>
      <c r="AC47" t="b">
        <f ca="1">ISNUMBER(SEARCH(".xls",_xlfn.FORMULATEXT('Aggregate products'!K48)))</f>
        <v>0</v>
      </c>
      <c r="AD47" t="b">
        <f ca="1">ISNUMBER(SEARCH(".xls",_xlfn.FORMULATEXT('Aggregate products'!L48)))</f>
        <v>0</v>
      </c>
      <c r="AE47" t="b">
        <f ca="1">ISNUMBER(SEARCH(".xls",_xlfn.FORMULATEXT('Aggregate products'!M48)))</f>
        <v>0</v>
      </c>
      <c r="AF47" t="b">
        <f ca="1">ISNUMBER(SEARCH(".xls",_xlfn.FORMULATEXT('Aggregate products'!N48)))</f>
        <v>0</v>
      </c>
      <c r="AG47" s="38" t="b">
        <f ca="1">ISNUMBER(SEARCH(".xls",_xlfn.FORMULATEXT('Aggregate products'!O48)))</f>
        <v>0</v>
      </c>
    </row>
    <row r="48" spans="14:33" x14ac:dyDescent="0.3">
      <c r="N48" s="6" t="str">
        <f>'Aggregate products'!AE40</f>
        <v/>
      </c>
      <c r="O48" t="str">
        <f t="shared" si="0"/>
        <v/>
      </c>
      <c r="Q48" s="36" t="str">
        <f>IF('Aggregate products'!D49+'Aggregate products'!E49&lt;'Aggregate products'!G49, "Error", "")</f>
        <v/>
      </c>
      <c r="U48" s="37" t="b">
        <f ca="1">ISNUMBER(SEARCH(".xls",_xlfn.FORMULATEXT('Aggregate products'!C49)))</f>
        <v>0</v>
      </c>
      <c r="V48" t="b">
        <f ca="1">ISNUMBER(SEARCH(".xls",_xlfn.FORMULATEXT('Aggregate products'!D49)))</f>
        <v>0</v>
      </c>
      <c r="W48" t="b">
        <f ca="1">ISNUMBER(SEARCH(".xls",_xlfn.FORMULATEXT('Aggregate products'!E49)))</f>
        <v>0</v>
      </c>
      <c r="X48" t="b">
        <f ca="1">ISNUMBER(SEARCH(".xls",_xlfn.FORMULATEXT('Aggregate products'!F49)))</f>
        <v>0</v>
      </c>
      <c r="Y48" t="b">
        <f ca="1">ISNUMBER(SEARCH(".xls",_xlfn.FORMULATEXT('Aggregate products'!G49)))</f>
        <v>0</v>
      </c>
      <c r="Z48" t="b">
        <f ca="1">ISNUMBER(SEARCH(".xls",_xlfn.FORMULATEXT('Aggregate products'!H49)))</f>
        <v>0</v>
      </c>
      <c r="AA48" t="b">
        <f ca="1">ISNUMBER(SEARCH(".xls",_xlfn.FORMULATEXT('Aggregate products'!I49)))</f>
        <v>0</v>
      </c>
      <c r="AB48" t="b">
        <f ca="1">ISNUMBER(SEARCH(".xls",_xlfn.FORMULATEXT('Aggregate products'!J49)))</f>
        <v>0</v>
      </c>
      <c r="AC48" t="b">
        <f ca="1">ISNUMBER(SEARCH(".xls",_xlfn.FORMULATEXT('Aggregate products'!K49)))</f>
        <v>0</v>
      </c>
      <c r="AD48" t="b">
        <f ca="1">ISNUMBER(SEARCH(".xls",_xlfn.FORMULATEXT('Aggregate products'!L49)))</f>
        <v>0</v>
      </c>
      <c r="AE48" t="b">
        <f ca="1">ISNUMBER(SEARCH(".xls",_xlfn.FORMULATEXT('Aggregate products'!M49)))</f>
        <v>0</v>
      </c>
      <c r="AF48" t="b">
        <f ca="1">ISNUMBER(SEARCH(".xls",_xlfn.FORMULATEXT('Aggregate products'!N49)))</f>
        <v>0</v>
      </c>
      <c r="AG48" s="38" t="b">
        <f ca="1">ISNUMBER(SEARCH(".xls",_xlfn.FORMULATEXT('Aggregate products'!O49)))</f>
        <v>0</v>
      </c>
    </row>
    <row r="49" spans="14:33" x14ac:dyDescent="0.3">
      <c r="N49" s="6" t="str">
        <f>'Aggregate products'!AE41</f>
        <v/>
      </c>
      <c r="O49" t="str">
        <f t="shared" si="0"/>
        <v/>
      </c>
      <c r="Q49" s="36" t="str">
        <f>IF('Aggregate products'!D50+'Aggregate products'!E50&lt;'Aggregate products'!G50, "Error", "")</f>
        <v/>
      </c>
      <c r="U49" s="37" t="b">
        <f ca="1">ISNUMBER(SEARCH(".xls",_xlfn.FORMULATEXT('Aggregate products'!C50)))</f>
        <v>0</v>
      </c>
      <c r="V49" t="b">
        <f ca="1">ISNUMBER(SEARCH(".xls",_xlfn.FORMULATEXT('Aggregate products'!D50)))</f>
        <v>0</v>
      </c>
      <c r="W49" t="b">
        <f ca="1">ISNUMBER(SEARCH(".xls",_xlfn.FORMULATEXT('Aggregate products'!E50)))</f>
        <v>0</v>
      </c>
      <c r="X49" t="b">
        <f ca="1">ISNUMBER(SEARCH(".xls",_xlfn.FORMULATEXT('Aggregate products'!F50)))</f>
        <v>0</v>
      </c>
      <c r="Y49" t="b">
        <f ca="1">ISNUMBER(SEARCH(".xls",_xlfn.FORMULATEXT('Aggregate products'!G50)))</f>
        <v>0</v>
      </c>
      <c r="Z49" t="b">
        <f ca="1">ISNUMBER(SEARCH(".xls",_xlfn.FORMULATEXT('Aggregate products'!H50)))</f>
        <v>0</v>
      </c>
      <c r="AA49" t="b">
        <f ca="1">ISNUMBER(SEARCH(".xls",_xlfn.FORMULATEXT('Aggregate products'!I50)))</f>
        <v>0</v>
      </c>
      <c r="AB49" t="b">
        <f ca="1">ISNUMBER(SEARCH(".xls",_xlfn.FORMULATEXT('Aggregate products'!J50)))</f>
        <v>0</v>
      </c>
      <c r="AC49" t="b">
        <f ca="1">ISNUMBER(SEARCH(".xls",_xlfn.FORMULATEXT('Aggregate products'!K50)))</f>
        <v>0</v>
      </c>
      <c r="AD49" t="b">
        <f ca="1">ISNUMBER(SEARCH(".xls",_xlfn.FORMULATEXT('Aggregate products'!L50)))</f>
        <v>0</v>
      </c>
      <c r="AE49" t="b">
        <f ca="1">ISNUMBER(SEARCH(".xls",_xlfn.FORMULATEXT('Aggregate products'!M50)))</f>
        <v>0</v>
      </c>
      <c r="AF49" t="b">
        <f ca="1">ISNUMBER(SEARCH(".xls",_xlfn.FORMULATEXT('Aggregate products'!N50)))</f>
        <v>0</v>
      </c>
      <c r="AG49" s="38" t="b">
        <f ca="1">ISNUMBER(SEARCH(".xls",_xlfn.FORMULATEXT('Aggregate products'!O50)))</f>
        <v>0</v>
      </c>
    </row>
    <row r="50" spans="14:33" x14ac:dyDescent="0.3">
      <c r="N50" s="6" t="str">
        <f>'Aggregate products'!AE42</f>
        <v/>
      </c>
      <c r="O50" t="str">
        <f t="shared" si="0"/>
        <v/>
      </c>
      <c r="Q50" s="36" t="str">
        <f>IF('Aggregate products'!D51+'Aggregate products'!E51&lt;'Aggregate products'!G51, "Error", "")</f>
        <v/>
      </c>
      <c r="U50" s="37" t="b">
        <f ca="1">ISNUMBER(SEARCH(".xls",_xlfn.FORMULATEXT('Aggregate products'!C51)))</f>
        <v>0</v>
      </c>
      <c r="V50" t="b">
        <f ca="1">ISNUMBER(SEARCH(".xls",_xlfn.FORMULATEXT('Aggregate products'!D51)))</f>
        <v>0</v>
      </c>
      <c r="W50" t="b">
        <f ca="1">ISNUMBER(SEARCH(".xls",_xlfn.FORMULATEXT('Aggregate products'!E51)))</f>
        <v>0</v>
      </c>
      <c r="X50" t="b">
        <f ca="1">ISNUMBER(SEARCH(".xls",_xlfn.FORMULATEXT('Aggregate products'!F51)))</f>
        <v>0</v>
      </c>
      <c r="Y50" t="b">
        <f ca="1">ISNUMBER(SEARCH(".xls",_xlfn.FORMULATEXT('Aggregate products'!G51)))</f>
        <v>0</v>
      </c>
      <c r="Z50" t="b">
        <f ca="1">ISNUMBER(SEARCH(".xls",_xlfn.FORMULATEXT('Aggregate products'!H51)))</f>
        <v>0</v>
      </c>
      <c r="AA50" t="b">
        <f ca="1">ISNUMBER(SEARCH(".xls",_xlfn.FORMULATEXT('Aggregate products'!I51)))</f>
        <v>0</v>
      </c>
      <c r="AB50" t="b">
        <f ca="1">ISNUMBER(SEARCH(".xls",_xlfn.FORMULATEXT('Aggregate products'!J51)))</f>
        <v>0</v>
      </c>
      <c r="AC50" t="b">
        <f ca="1">ISNUMBER(SEARCH(".xls",_xlfn.FORMULATEXT('Aggregate products'!K51)))</f>
        <v>0</v>
      </c>
      <c r="AD50" t="b">
        <f ca="1">ISNUMBER(SEARCH(".xls",_xlfn.FORMULATEXT('Aggregate products'!L51)))</f>
        <v>0</v>
      </c>
      <c r="AE50" t="b">
        <f ca="1">ISNUMBER(SEARCH(".xls",_xlfn.FORMULATEXT('Aggregate products'!M51)))</f>
        <v>0</v>
      </c>
      <c r="AF50" t="b">
        <f ca="1">ISNUMBER(SEARCH(".xls",_xlfn.FORMULATEXT('Aggregate products'!N51)))</f>
        <v>0</v>
      </c>
      <c r="AG50" s="38" t="b">
        <f ca="1">ISNUMBER(SEARCH(".xls",_xlfn.FORMULATEXT('Aggregate products'!O51)))</f>
        <v>0</v>
      </c>
    </row>
    <row r="51" spans="14:33" x14ac:dyDescent="0.3">
      <c r="N51" s="6" t="str">
        <f>'Aggregate products'!AE43</f>
        <v/>
      </c>
      <c r="O51" t="str">
        <f t="shared" si="0"/>
        <v/>
      </c>
      <c r="Q51" s="36" t="str">
        <f>IF('Aggregate products'!D52+'Aggregate products'!E52&lt;'Aggregate products'!G52, "Error", "")</f>
        <v/>
      </c>
      <c r="U51" s="37" t="b">
        <f ca="1">ISNUMBER(SEARCH(".xls",_xlfn.FORMULATEXT('Aggregate products'!C52)))</f>
        <v>0</v>
      </c>
      <c r="V51" t="b">
        <f ca="1">ISNUMBER(SEARCH(".xls",_xlfn.FORMULATEXT('Aggregate products'!D52)))</f>
        <v>0</v>
      </c>
      <c r="W51" t="b">
        <f ca="1">ISNUMBER(SEARCH(".xls",_xlfn.FORMULATEXT('Aggregate products'!E52)))</f>
        <v>0</v>
      </c>
      <c r="X51" t="b">
        <f ca="1">ISNUMBER(SEARCH(".xls",_xlfn.FORMULATEXT('Aggregate products'!F52)))</f>
        <v>0</v>
      </c>
      <c r="Y51" t="b">
        <f ca="1">ISNUMBER(SEARCH(".xls",_xlfn.FORMULATEXT('Aggregate products'!G52)))</f>
        <v>0</v>
      </c>
      <c r="Z51" t="b">
        <f ca="1">ISNUMBER(SEARCH(".xls",_xlfn.FORMULATEXT('Aggregate products'!H52)))</f>
        <v>0</v>
      </c>
      <c r="AA51" t="b">
        <f ca="1">ISNUMBER(SEARCH(".xls",_xlfn.FORMULATEXT('Aggregate products'!I52)))</f>
        <v>0</v>
      </c>
      <c r="AB51" t="b">
        <f ca="1">ISNUMBER(SEARCH(".xls",_xlfn.FORMULATEXT('Aggregate products'!J52)))</f>
        <v>0</v>
      </c>
      <c r="AC51" t="b">
        <f ca="1">ISNUMBER(SEARCH(".xls",_xlfn.FORMULATEXT('Aggregate products'!K52)))</f>
        <v>0</v>
      </c>
      <c r="AD51" t="b">
        <f ca="1">ISNUMBER(SEARCH(".xls",_xlfn.FORMULATEXT('Aggregate products'!L52)))</f>
        <v>0</v>
      </c>
      <c r="AE51" t="b">
        <f ca="1">ISNUMBER(SEARCH(".xls",_xlfn.FORMULATEXT('Aggregate products'!M52)))</f>
        <v>0</v>
      </c>
      <c r="AF51" t="b">
        <f ca="1">ISNUMBER(SEARCH(".xls",_xlfn.FORMULATEXT('Aggregate products'!N52)))</f>
        <v>0</v>
      </c>
      <c r="AG51" s="38" t="b">
        <f ca="1">ISNUMBER(SEARCH(".xls",_xlfn.FORMULATEXT('Aggregate products'!O52)))</f>
        <v>0</v>
      </c>
    </row>
    <row r="52" spans="14:33" x14ac:dyDescent="0.3">
      <c r="N52" s="6" t="str">
        <f>'Aggregate products'!AE44</f>
        <v/>
      </c>
      <c r="O52" t="str">
        <f t="shared" si="0"/>
        <v/>
      </c>
      <c r="Q52" s="36" t="str">
        <f>IF('Aggregate products'!D53+'Aggregate products'!E53&lt;'Aggregate products'!G53, "Error", "")</f>
        <v/>
      </c>
      <c r="U52" s="37" t="b">
        <f ca="1">ISNUMBER(SEARCH(".xls",_xlfn.FORMULATEXT('Aggregate products'!C53)))</f>
        <v>0</v>
      </c>
      <c r="V52" t="b">
        <f ca="1">ISNUMBER(SEARCH(".xls",_xlfn.FORMULATEXT('Aggregate products'!D53)))</f>
        <v>0</v>
      </c>
      <c r="W52" t="b">
        <f ca="1">ISNUMBER(SEARCH(".xls",_xlfn.FORMULATEXT('Aggregate products'!E53)))</f>
        <v>0</v>
      </c>
      <c r="X52" t="b">
        <f ca="1">ISNUMBER(SEARCH(".xls",_xlfn.FORMULATEXT('Aggregate products'!F53)))</f>
        <v>0</v>
      </c>
      <c r="Y52" t="b">
        <f ca="1">ISNUMBER(SEARCH(".xls",_xlfn.FORMULATEXT('Aggregate products'!G53)))</f>
        <v>0</v>
      </c>
      <c r="Z52" t="b">
        <f ca="1">ISNUMBER(SEARCH(".xls",_xlfn.FORMULATEXT('Aggregate products'!H53)))</f>
        <v>0</v>
      </c>
      <c r="AA52" t="b">
        <f ca="1">ISNUMBER(SEARCH(".xls",_xlfn.FORMULATEXT('Aggregate products'!I53)))</f>
        <v>0</v>
      </c>
      <c r="AB52" t="b">
        <f ca="1">ISNUMBER(SEARCH(".xls",_xlfn.FORMULATEXT('Aggregate products'!J53)))</f>
        <v>0</v>
      </c>
      <c r="AC52" t="b">
        <f ca="1">ISNUMBER(SEARCH(".xls",_xlfn.FORMULATEXT('Aggregate products'!K53)))</f>
        <v>0</v>
      </c>
      <c r="AD52" t="b">
        <f ca="1">ISNUMBER(SEARCH(".xls",_xlfn.FORMULATEXT('Aggregate products'!L53)))</f>
        <v>0</v>
      </c>
      <c r="AE52" t="b">
        <f ca="1">ISNUMBER(SEARCH(".xls",_xlfn.FORMULATEXT('Aggregate products'!M53)))</f>
        <v>0</v>
      </c>
      <c r="AF52" t="b">
        <f ca="1">ISNUMBER(SEARCH(".xls",_xlfn.FORMULATEXT('Aggregate products'!N53)))</f>
        <v>0</v>
      </c>
      <c r="AG52" s="38" t="b">
        <f ca="1">ISNUMBER(SEARCH(".xls",_xlfn.FORMULATEXT('Aggregate products'!O53)))</f>
        <v>0</v>
      </c>
    </row>
    <row r="53" spans="14:33" x14ac:dyDescent="0.3">
      <c r="N53" s="6" t="str">
        <f>'Aggregate products'!AE45</f>
        <v/>
      </c>
      <c r="O53" t="str">
        <f t="shared" si="0"/>
        <v/>
      </c>
      <c r="Q53" s="36" t="str">
        <f>IF('Aggregate products'!D54+'Aggregate products'!E54&lt;'Aggregate products'!G54, "Error", "")</f>
        <v/>
      </c>
      <c r="U53" s="37" t="b">
        <f ca="1">ISNUMBER(SEARCH(".xls",_xlfn.FORMULATEXT('Aggregate products'!C54)))</f>
        <v>0</v>
      </c>
      <c r="V53" t="b">
        <f ca="1">ISNUMBER(SEARCH(".xls",_xlfn.FORMULATEXT('Aggregate products'!D54)))</f>
        <v>0</v>
      </c>
      <c r="W53" t="b">
        <f ca="1">ISNUMBER(SEARCH(".xls",_xlfn.FORMULATEXT('Aggregate products'!E54)))</f>
        <v>0</v>
      </c>
      <c r="X53" t="b">
        <f ca="1">ISNUMBER(SEARCH(".xls",_xlfn.FORMULATEXT('Aggregate products'!F54)))</f>
        <v>0</v>
      </c>
      <c r="Y53" t="b">
        <f ca="1">ISNUMBER(SEARCH(".xls",_xlfn.FORMULATEXT('Aggregate products'!G54)))</f>
        <v>0</v>
      </c>
      <c r="Z53" t="b">
        <f ca="1">ISNUMBER(SEARCH(".xls",_xlfn.FORMULATEXT('Aggregate products'!H54)))</f>
        <v>0</v>
      </c>
      <c r="AA53" t="b">
        <f ca="1">ISNUMBER(SEARCH(".xls",_xlfn.FORMULATEXT('Aggregate products'!I54)))</f>
        <v>0</v>
      </c>
      <c r="AB53" t="b">
        <f ca="1">ISNUMBER(SEARCH(".xls",_xlfn.FORMULATEXT('Aggregate products'!J54)))</f>
        <v>0</v>
      </c>
      <c r="AC53" t="b">
        <f ca="1">ISNUMBER(SEARCH(".xls",_xlfn.FORMULATEXT('Aggregate products'!K54)))</f>
        <v>0</v>
      </c>
      <c r="AD53" t="b">
        <f ca="1">ISNUMBER(SEARCH(".xls",_xlfn.FORMULATEXT('Aggregate products'!L54)))</f>
        <v>0</v>
      </c>
      <c r="AE53" t="b">
        <f ca="1">ISNUMBER(SEARCH(".xls",_xlfn.FORMULATEXT('Aggregate products'!M54)))</f>
        <v>0</v>
      </c>
      <c r="AF53" t="b">
        <f ca="1">ISNUMBER(SEARCH(".xls",_xlfn.FORMULATEXT('Aggregate products'!N54)))</f>
        <v>0</v>
      </c>
      <c r="AG53" s="38" t="b">
        <f ca="1">ISNUMBER(SEARCH(".xls",_xlfn.FORMULATEXT('Aggregate products'!O54)))</f>
        <v>0</v>
      </c>
    </row>
    <row r="54" spans="14:33" x14ac:dyDescent="0.3">
      <c r="N54" s="6" t="str">
        <f>'Aggregate products'!AE46</f>
        <v/>
      </c>
      <c r="O54" t="str">
        <f t="shared" si="0"/>
        <v/>
      </c>
      <c r="Q54" s="36" t="str">
        <f>IF('Aggregate products'!D55+'Aggregate products'!E55&lt;'Aggregate products'!G55, "Error", "")</f>
        <v/>
      </c>
      <c r="U54" s="37" t="b">
        <f ca="1">ISNUMBER(SEARCH(".xls",_xlfn.FORMULATEXT('Aggregate products'!C55)))</f>
        <v>0</v>
      </c>
      <c r="V54" t="b">
        <f ca="1">ISNUMBER(SEARCH(".xls",_xlfn.FORMULATEXT('Aggregate products'!D55)))</f>
        <v>0</v>
      </c>
      <c r="W54" t="b">
        <f ca="1">ISNUMBER(SEARCH(".xls",_xlfn.FORMULATEXT('Aggregate products'!E55)))</f>
        <v>0</v>
      </c>
      <c r="X54" t="b">
        <f ca="1">ISNUMBER(SEARCH(".xls",_xlfn.FORMULATEXT('Aggregate products'!F55)))</f>
        <v>0</v>
      </c>
      <c r="Y54" t="b">
        <f ca="1">ISNUMBER(SEARCH(".xls",_xlfn.FORMULATEXT('Aggregate products'!G55)))</f>
        <v>0</v>
      </c>
      <c r="Z54" t="b">
        <f ca="1">ISNUMBER(SEARCH(".xls",_xlfn.FORMULATEXT('Aggregate products'!H55)))</f>
        <v>0</v>
      </c>
      <c r="AA54" t="b">
        <f ca="1">ISNUMBER(SEARCH(".xls",_xlfn.FORMULATEXT('Aggregate products'!I55)))</f>
        <v>0</v>
      </c>
      <c r="AB54" t="b">
        <f ca="1">ISNUMBER(SEARCH(".xls",_xlfn.FORMULATEXT('Aggregate products'!J55)))</f>
        <v>0</v>
      </c>
      <c r="AC54" t="b">
        <f ca="1">ISNUMBER(SEARCH(".xls",_xlfn.FORMULATEXT('Aggregate products'!K55)))</f>
        <v>0</v>
      </c>
      <c r="AD54" t="b">
        <f ca="1">ISNUMBER(SEARCH(".xls",_xlfn.FORMULATEXT('Aggregate products'!L55)))</f>
        <v>0</v>
      </c>
      <c r="AE54" t="b">
        <f ca="1">ISNUMBER(SEARCH(".xls",_xlfn.FORMULATEXT('Aggregate products'!M55)))</f>
        <v>0</v>
      </c>
      <c r="AF54" t="b">
        <f ca="1">ISNUMBER(SEARCH(".xls",_xlfn.FORMULATEXT('Aggregate products'!N55)))</f>
        <v>0</v>
      </c>
      <c r="AG54" s="38" t="b">
        <f ca="1">ISNUMBER(SEARCH(".xls",_xlfn.FORMULATEXT('Aggregate products'!O55)))</f>
        <v>0</v>
      </c>
    </row>
    <row r="55" spans="14:33" x14ac:dyDescent="0.3">
      <c r="N55" s="6" t="str">
        <f>'Aggregate products'!AE47</f>
        <v/>
      </c>
      <c r="O55" t="str">
        <f t="shared" si="0"/>
        <v/>
      </c>
      <c r="Q55" s="36" t="str">
        <f>IF('Aggregate products'!D56+'Aggregate products'!E56&lt;'Aggregate products'!G56, "Error", "")</f>
        <v/>
      </c>
      <c r="U55" s="37" t="b">
        <f ca="1">ISNUMBER(SEARCH(".xls",_xlfn.FORMULATEXT('Aggregate products'!C56)))</f>
        <v>0</v>
      </c>
      <c r="V55" t="b">
        <f ca="1">ISNUMBER(SEARCH(".xls",_xlfn.FORMULATEXT('Aggregate products'!D56)))</f>
        <v>0</v>
      </c>
      <c r="W55" t="b">
        <f ca="1">ISNUMBER(SEARCH(".xls",_xlfn.FORMULATEXT('Aggregate products'!E56)))</f>
        <v>0</v>
      </c>
      <c r="X55" t="b">
        <f ca="1">ISNUMBER(SEARCH(".xls",_xlfn.FORMULATEXT('Aggregate products'!F56)))</f>
        <v>0</v>
      </c>
      <c r="Y55" t="b">
        <f ca="1">ISNUMBER(SEARCH(".xls",_xlfn.FORMULATEXT('Aggregate products'!G56)))</f>
        <v>0</v>
      </c>
      <c r="Z55" t="b">
        <f ca="1">ISNUMBER(SEARCH(".xls",_xlfn.FORMULATEXT('Aggregate products'!H56)))</f>
        <v>0</v>
      </c>
      <c r="AA55" t="b">
        <f ca="1">ISNUMBER(SEARCH(".xls",_xlfn.FORMULATEXT('Aggregate products'!I56)))</f>
        <v>0</v>
      </c>
      <c r="AB55" t="b">
        <f ca="1">ISNUMBER(SEARCH(".xls",_xlfn.FORMULATEXT('Aggregate products'!J56)))</f>
        <v>0</v>
      </c>
      <c r="AC55" t="b">
        <f ca="1">ISNUMBER(SEARCH(".xls",_xlfn.FORMULATEXT('Aggregate products'!K56)))</f>
        <v>0</v>
      </c>
      <c r="AD55" t="b">
        <f ca="1">ISNUMBER(SEARCH(".xls",_xlfn.FORMULATEXT('Aggregate products'!L56)))</f>
        <v>0</v>
      </c>
      <c r="AE55" t="b">
        <f ca="1">ISNUMBER(SEARCH(".xls",_xlfn.FORMULATEXT('Aggregate products'!M56)))</f>
        <v>0</v>
      </c>
      <c r="AF55" t="b">
        <f ca="1">ISNUMBER(SEARCH(".xls",_xlfn.FORMULATEXT('Aggregate products'!N56)))</f>
        <v>0</v>
      </c>
      <c r="AG55" s="38" t="b">
        <f ca="1">ISNUMBER(SEARCH(".xls",_xlfn.FORMULATEXT('Aggregate products'!O56)))</f>
        <v>0</v>
      </c>
    </row>
    <row r="56" spans="14:33" x14ac:dyDescent="0.3">
      <c r="N56" s="6" t="str">
        <f>'Aggregate products'!AE48</f>
        <v/>
      </c>
      <c r="O56" t="str">
        <f t="shared" si="0"/>
        <v/>
      </c>
      <c r="Q56" s="36" t="str">
        <f>IF('Aggregate products'!D57+'Aggregate products'!E57&lt;'Aggregate products'!G57, "Error", "")</f>
        <v/>
      </c>
      <c r="U56" s="37" t="b">
        <f ca="1">ISNUMBER(SEARCH(".xls",_xlfn.FORMULATEXT('Aggregate products'!C57)))</f>
        <v>0</v>
      </c>
      <c r="V56" t="b">
        <f ca="1">ISNUMBER(SEARCH(".xls",_xlfn.FORMULATEXT('Aggregate products'!D57)))</f>
        <v>0</v>
      </c>
      <c r="W56" t="b">
        <f ca="1">ISNUMBER(SEARCH(".xls",_xlfn.FORMULATEXT('Aggregate products'!E57)))</f>
        <v>0</v>
      </c>
      <c r="X56" t="b">
        <f ca="1">ISNUMBER(SEARCH(".xls",_xlfn.FORMULATEXT('Aggregate products'!F57)))</f>
        <v>0</v>
      </c>
      <c r="Y56" t="b">
        <f ca="1">ISNUMBER(SEARCH(".xls",_xlfn.FORMULATEXT('Aggregate products'!G57)))</f>
        <v>0</v>
      </c>
      <c r="Z56" t="b">
        <f ca="1">ISNUMBER(SEARCH(".xls",_xlfn.FORMULATEXT('Aggregate products'!H57)))</f>
        <v>0</v>
      </c>
      <c r="AA56" t="b">
        <f ca="1">ISNUMBER(SEARCH(".xls",_xlfn.FORMULATEXT('Aggregate products'!I57)))</f>
        <v>0</v>
      </c>
      <c r="AB56" t="b">
        <f ca="1">ISNUMBER(SEARCH(".xls",_xlfn.FORMULATEXT('Aggregate products'!J57)))</f>
        <v>0</v>
      </c>
      <c r="AC56" t="b">
        <f ca="1">ISNUMBER(SEARCH(".xls",_xlfn.FORMULATEXT('Aggregate products'!K57)))</f>
        <v>0</v>
      </c>
      <c r="AD56" t="b">
        <f ca="1">ISNUMBER(SEARCH(".xls",_xlfn.FORMULATEXT('Aggregate products'!L57)))</f>
        <v>0</v>
      </c>
      <c r="AE56" t="b">
        <f ca="1">ISNUMBER(SEARCH(".xls",_xlfn.FORMULATEXT('Aggregate products'!M57)))</f>
        <v>0</v>
      </c>
      <c r="AF56" t="b">
        <f ca="1">ISNUMBER(SEARCH(".xls",_xlfn.FORMULATEXT('Aggregate products'!N57)))</f>
        <v>0</v>
      </c>
      <c r="AG56" s="38" t="b">
        <f ca="1">ISNUMBER(SEARCH(".xls",_xlfn.FORMULATEXT('Aggregate products'!O57)))</f>
        <v>0</v>
      </c>
    </row>
    <row r="57" spans="14:33" x14ac:dyDescent="0.3">
      <c r="N57" s="6" t="str">
        <f>'Aggregate products'!AE49</f>
        <v/>
      </c>
      <c r="O57" t="str">
        <f t="shared" si="0"/>
        <v/>
      </c>
      <c r="Q57" s="36" t="str">
        <f>IF('Aggregate products'!D58+'Aggregate products'!E58&lt;'Aggregate products'!G58, "Error", "")</f>
        <v/>
      </c>
      <c r="U57" s="37" t="b">
        <f ca="1">ISNUMBER(SEARCH(".xls",_xlfn.FORMULATEXT('Aggregate products'!C58)))</f>
        <v>0</v>
      </c>
      <c r="V57" t="b">
        <f ca="1">ISNUMBER(SEARCH(".xls",_xlfn.FORMULATEXT('Aggregate products'!D58)))</f>
        <v>0</v>
      </c>
      <c r="W57" t="b">
        <f ca="1">ISNUMBER(SEARCH(".xls",_xlfn.FORMULATEXT('Aggregate products'!E58)))</f>
        <v>0</v>
      </c>
      <c r="X57" t="b">
        <f ca="1">ISNUMBER(SEARCH(".xls",_xlfn.FORMULATEXT('Aggregate products'!F58)))</f>
        <v>0</v>
      </c>
      <c r="Y57" t="b">
        <f ca="1">ISNUMBER(SEARCH(".xls",_xlfn.FORMULATEXT('Aggregate products'!G58)))</f>
        <v>0</v>
      </c>
      <c r="Z57" t="b">
        <f ca="1">ISNUMBER(SEARCH(".xls",_xlfn.FORMULATEXT('Aggregate products'!H58)))</f>
        <v>0</v>
      </c>
      <c r="AA57" t="b">
        <f ca="1">ISNUMBER(SEARCH(".xls",_xlfn.FORMULATEXT('Aggregate products'!I58)))</f>
        <v>0</v>
      </c>
      <c r="AB57" t="b">
        <f ca="1">ISNUMBER(SEARCH(".xls",_xlfn.FORMULATEXT('Aggregate products'!J58)))</f>
        <v>0</v>
      </c>
      <c r="AC57" t="b">
        <f ca="1">ISNUMBER(SEARCH(".xls",_xlfn.FORMULATEXT('Aggregate products'!K58)))</f>
        <v>0</v>
      </c>
      <c r="AD57" t="b">
        <f ca="1">ISNUMBER(SEARCH(".xls",_xlfn.FORMULATEXT('Aggregate products'!L58)))</f>
        <v>0</v>
      </c>
      <c r="AE57" t="b">
        <f ca="1">ISNUMBER(SEARCH(".xls",_xlfn.FORMULATEXT('Aggregate products'!M58)))</f>
        <v>0</v>
      </c>
      <c r="AF57" t="b">
        <f ca="1">ISNUMBER(SEARCH(".xls",_xlfn.FORMULATEXT('Aggregate products'!N58)))</f>
        <v>0</v>
      </c>
      <c r="AG57" s="38" t="b">
        <f ca="1">ISNUMBER(SEARCH(".xls",_xlfn.FORMULATEXT('Aggregate products'!O58)))</f>
        <v>0</v>
      </c>
    </row>
    <row r="58" spans="14:33" x14ac:dyDescent="0.3">
      <c r="N58" s="6" t="str">
        <f>'Aggregate products'!AE50</f>
        <v/>
      </c>
      <c r="O58" t="str">
        <f t="shared" si="0"/>
        <v/>
      </c>
      <c r="Q58" s="36" t="str">
        <f>IF('Aggregate products'!D59+'Aggregate products'!E59&lt;'Aggregate products'!G59, "Error", "")</f>
        <v/>
      </c>
      <c r="U58" s="37" t="b">
        <f ca="1">ISNUMBER(SEARCH(".xls",_xlfn.FORMULATEXT('Aggregate products'!C59)))</f>
        <v>0</v>
      </c>
      <c r="V58" t="b">
        <f ca="1">ISNUMBER(SEARCH(".xls",_xlfn.FORMULATEXT('Aggregate products'!D59)))</f>
        <v>0</v>
      </c>
      <c r="W58" t="b">
        <f ca="1">ISNUMBER(SEARCH(".xls",_xlfn.FORMULATEXT('Aggregate products'!E59)))</f>
        <v>0</v>
      </c>
      <c r="X58" t="b">
        <f ca="1">ISNUMBER(SEARCH(".xls",_xlfn.FORMULATEXT('Aggregate products'!F59)))</f>
        <v>0</v>
      </c>
      <c r="Y58" t="b">
        <f ca="1">ISNUMBER(SEARCH(".xls",_xlfn.FORMULATEXT('Aggregate products'!G59)))</f>
        <v>0</v>
      </c>
      <c r="Z58" t="b">
        <f ca="1">ISNUMBER(SEARCH(".xls",_xlfn.FORMULATEXT('Aggregate products'!H59)))</f>
        <v>0</v>
      </c>
      <c r="AA58" t="b">
        <f ca="1">ISNUMBER(SEARCH(".xls",_xlfn.FORMULATEXT('Aggregate products'!I59)))</f>
        <v>0</v>
      </c>
      <c r="AB58" t="b">
        <f ca="1">ISNUMBER(SEARCH(".xls",_xlfn.FORMULATEXT('Aggregate products'!J59)))</f>
        <v>0</v>
      </c>
      <c r="AC58" t="b">
        <f ca="1">ISNUMBER(SEARCH(".xls",_xlfn.FORMULATEXT('Aggregate products'!K59)))</f>
        <v>0</v>
      </c>
      <c r="AD58" t="b">
        <f ca="1">ISNUMBER(SEARCH(".xls",_xlfn.FORMULATEXT('Aggregate products'!L59)))</f>
        <v>0</v>
      </c>
      <c r="AE58" t="b">
        <f ca="1">ISNUMBER(SEARCH(".xls",_xlfn.FORMULATEXT('Aggregate products'!M59)))</f>
        <v>0</v>
      </c>
      <c r="AF58" t="b">
        <f ca="1">ISNUMBER(SEARCH(".xls",_xlfn.FORMULATEXT('Aggregate products'!N59)))</f>
        <v>0</v>
      </c>
      <c r="AG58" s="38" t="b">
        <f ca="1">ISNUMBER(SEARCH(".xls",_xlfn.FORMULATEXT('Aggregate products'!O59)))</f>
        <v>0</v>
      </c>
    </row>
    <row r="59" spans="14:33" x14ac:dyDescent="0.3">
      <c r="N59" s="6" t="str">
        <f>'Aggregate products'!AE51</f>
        <v/>
      </c>
      <c r="O59" t="str">
        <f t="shared" si="0"/>
        <v/>
      </c>
      <c r="Q59" s="36" t="str">
        <f>IF('Aggregate products'!D60+'Aggregate products'!E60&lt;'Aggregate products'!G60, "Error", "")</f>
        <v/>
      </c>
      <c r="U59" s="37" t="b">
        <f ca="1">ISNUMBER(SEARCH(".xls",_xlfn.FORMULATEXT('Aggregate products'!C60)))</f>
        <v>0</v>
      </c>
      <c r="V59" t="b">
        <f ca="1">ISNUMBER(SEARCH(".xls",_xlfn.FORMULATEXT('Aggregate products'!D60)))</f>
        <v>0</v>
      </c>
      <c r="W59" t="b">
        <f ca="1">ISNUMBER(SEARCH(".xls",_xlfn.FORMULATEXT('Aggregate products'!E60)))</f>
        <v>0</v>
      </c>
      <c r="X59" t="b">
        <f ca="1">ISNUMBER(SEARCH(".xls",_xlfn.FORMULATEXT('Aggregate products'!F60)))</f>
        <v>0</v>
      </c>
      <c r="Y59" t="b">
        <f ca="1">ISNUMBER(SEARCH(".xls",_xlfn.FORMULATEXT('Aggregate products'!G60)))</f>
        <v>0</v>
      </c>
      <c r="Z59" t="b">
        <f ca="1">ISNUMBER(SEARCH(".xls",_xlfn.FORMULATEXT('Aggregate products'!H60)))</f>
        <v>0</v>
      </c>
      <c r="AA59" t="b">
        <f ca="1">ISNUMBER(SEARCH(".xls",_xlfn.FORMULATEXT('Aggregate products'!I60)))</f>
        <v>0</v>
      </c>
      <c r="AB59" t="b">
        <f ca="1">ISNUMBER(SEARCH(".xls",_xlfn.FORMULATEXT('Aggregate products'!J60)))</f>
        <v>0</v>
      </c>
      <c r="AC59" t="b">
        <f ca="1">ISNUMBER(SEARCH(".xls",_xlfn.FORMULATEXT('Aggregate products'!K60)))</f>
        <v>0</v>
      </c>
      <c r="AD59" t="b">
        <f ca="1">ISNUMBER(SEARCH(".xls",_xlfn.FORMULATEXT('Aggregate products'!L60)))</f>
        <v>0</v>
      </c>
      <c r="AE59" t="b">
        <f ca="1">ISNUMBER(SEARCH(".xls",_xlfn.FORMULATEXT('Aggregate products'!M60)))</f>
        <v>0</v>
      </c>
      <c r="AF59" t="b">
        <f ca="1">ISNUMBER(SEARCH(".xls",_xlfn.FORMULATEXT('Aggregate products'!N60)))</f>
        <v>0</v>
      </c>
      <c r="AG59" s="38" t="b">
        <f ca="1">ISNUMBER(SEARCH(".xls",_xlfn.FORMULATEXT('Aggregate products'!O60)))</f>
        <v>0</v>
      </c>
    </row>
    <row r="60" spans="14:33" x14ac:dyDescent="0.3">
      <c r="N60" s="6" t="str">
        <f>'Aggregate products'!AE52</f>
        <v/>
      </c>
      <c r="O60" t="str">
        <f t="shared" si="0"/>
        <v/>
      </c>
      <c r="Q60" s="36" t="str">
        <f>IF('Aggregate products'!D61+'Aggregate products'!E61&lt;'Aggregate products'!G61, "Error", "")</f>
        <v/>
      </c>
      <c r="U60" s="37" t="b">
        <f ca="1">ISNUMBER(SEARCH(".xls",_xlfn.FORMULATEXT('Aggregate products'!C61)))</f>
        <v>0</v>
      </c>
      <c r="V60" t="b">
        <f ca="1">ISNUMBER(SEARCH(".xls",_xlfn.FORMULATEXT('Aggregate products'!D61)))</f>
        <v>0</v>
      </c>
      <c r="W60" t="b">
        <f ca="1">ISNUMBER(SEARCH(".xls",_xlfn.FORMULATEXT('Aggregate products'!E61)))</f>
        <v>0</v>
      </c>
      <c r="X60" t="b">
        <f ca="1">ISNUMBER(SEARCH(".xls",_xlfn.FORMULATEXT('Aggregate products'!F61)))</f>
        <v>0</v>
      </c>
      <c r="Y60" t="b">
        <f ca="1">ISNUMBER(SEARCH(".xls",_xlfn.FORMULATEXT('Aggregate products'!G61)))</f>
        <v>0</v>
      </c>
      <c r="Z60" t="b">
        <f ca="1">ISNUMBER(SEARCH(".xls",_xlfn.FORMULATEXT('Aggregate products'!H61)))</f>
        <v>0</v>
      </c>
      <c r="AA60" t="b">
        <f ca="1">ISNUMBER(SEARCH(".xls",_xlfn.FORMULATEXT('Aggregate products'!I61)))</f>
        <v>0</v>
      </c>
      <c r="AB60" t="b">
        <f ca="1">ISNUMBER(SEARCH(".xls",_xlfn.FORMULATEXT('Aggregate products'!J61)))</f>
        <v>0</v>
      </c>
      <c r="AC60" t="b">
        <f ca="1">ISNUMBER(SEARCH(".xls",_xlfn.FORMULATEXT('Aggregate products'!K61)))</f>
        <v>0</v>
      </c>
      <c r="AD60" t="b">
        <f ca="1">ISNUMBER(SEARCH(".xls",_xlfn.FORMULATEXT('Aggregate products'!L61)))</f>
        <v>0</v>
      </c>
      <c r="AE60" t="b">
        <f ca="1">ISNUMBER(SEARCH(".xls",_xlfn.FORMULATEXT('Aggregate products'!M61)))</f>
        <v>0</v>
      </c>
      <c r="AF60" t="b">
        <f ca="1">ISNUMBER(SEARCH(".xls",_xlfn.FORMULATEXT('Aggregate products'!N61)))</f>
        <v>0</v>
      </c>
      <c r="AG60" s="38" t="b">
        <f ca="1">ISNUMBER(SEARCH(".xls",_xlfn.FORMULATEXT('Aggregate products'!O61)))</f>
        <v>0</v>
      </c>
    </row>
    <row r="61" spans="14:33" x14ac:dyDescent="0.3">
      <c r="N61" s="6" t="str">
        <f>'Aggregate products'!AE53</f>
        <v/>
      </c>
      <c r="O61" t="str">
        <f t="shared" si="0"/>
        <v/>
      </c>
      <c r="Q61" s="36" t="str">
        <f>IF('Aggregate products'!D62+'Aggregate products'!E62&lt;'Aggregate products'!G62, "Error", "")</f>
        <v/>
      </c>
      <c r="U61" s="37" t="b">
        <f ca="1">ISNUMBER(SEARCH(".xls",_xlfn.FORMULATEXT('Aggregate products'!C62)))</f>
        <v>0</v>
      </c>
      <c r="V61" t="b">
        <f ca="1">ISNUMBER(SEARCH(".xls",_xlfn.FORMULATEXT('Aggregate products'!D62)))</f>
        <v>0</v>
      </c>
      <c r="W61" t="b">
        <f ca="1">ISNUMBER(SEARCH(".xls",_xlfn.FORMULATEXT('Aggregate products'!E62)))</f>
        <v>0</v>
      </c>
      <c r="X61" t="b">
        <f ca="1">ISNUMBER(SEARCH(".xls",_xlfn.FORMULATEXT('Aggregate products'!F62)))</f>
        <v>0</v>
      </c>
      <c r="Y61" t="b">
        <f ca="1">ISNUMBER(SEARCH(".xls",_xlfn.FORMULATEXT('Aggregate products'!G62)))</f>
        <v>0</v>
      </c>
      <c r="Z61" t="b">
        <f ca="1">ISNUMBER(SEARCH(".xls",_xlfn.FORMULATEXT('Aggregate products'!H62)))</f>
        <v>0</v>
      </c>
      <c r="AA61" t="b">
        <f ca="1">ISNUMBER(SEARCH(".xls",_xlfn.FORMULATEXT('Aggregate products'!I62)))</f>
        <v>0</v>
      </c>
      <c r="AB61" t="b">
        <f ca="1">ISNUMBER(SEARCH(".xls",_xlfn.FORMULATEXT('Aggregate products'!J62)))</f>
        <v>0</v>
      </c>
      <c r="AC61" t="b">
        <f ca="1">ISNUMBER(SEARCH(".xls",_xlfn.FORMULATEXT('Aggregate products'!K62)))</f>
        <v>0</v>
      </c>
      <c r="AD61" t="b">
        <f ca="1">ISNUMBER(SEARCH(".xls",_xlfn.FORMULATEXT('Aggregate products'!L62)))</f>
        <v>0</v>
      </c>
      <c r="AE61" t="b">
        <f ca="1">ISNUMBER(SEARCH(".xls",_xlfn.FORMULATEXT('Aggregate products'!M62)))</f>
        <v>0</v>
      </c>
      <c r="AF61" t="b">
        <f ca="1">ISNUMBER(SEARCH(".xls",_xlfn.FORMULATEXT('Aggregate products'!N62)))</f>
        <v>0</v>
      </c>
      <c r="AG61" s="38" t="b">
        <f ca="1">ISNUMBER(SEARCH(".xls",_xlfn.FORMULATEXT('Aggregate products'!O62)))</f>
        <v>0</v>
      </c>
    </row>
    <row r="62" spans="14:33" x14ac:dyDescent="0.3">
      <c r="N62" s="6" t="str">
        <f>'Aggregate products'!AE54</f>
        <v/>
      </c>
      <c r="O62" t="str">
        <f t="shared" si="0"/>
        <v/>
      </c>
      <c r="Q62" s="36" t="str">
        <f>IF('Aggregate products'!D63+'Aggregate products'!E63&lt;'Aggregate products'!G63, "Error", "")</f>
        <v/>
      </c>
      <c r="U62" s="37" t="b">
        <f ca="1">ISNUMBER(SEARCH(".xls",_xlfn.FORMULATEXT('Aggregate products'!C63)))</f>
        <v>0</v>
      </c>
      <c r="V62" t="b">
        <f ca="1">ISNUMBER(SEARCH(".xls",_xlfn.FORMULATEXT('Aggregate products'!D63)))</f>
        <v>0</v>
      </c>
      <c r="W62" t="b">
        <f ca="1">ISNUMBER(SEARCH(".xls",_xlfn.FORMULATEXT('Aggregate products'!E63)))</f>
        <v>0</v>
      </c>
      <c r="X62" t="b">
        <f ca="1">ISNUMBER(SEARCH(".xls",_xlfn.FORMULATEXT('Aggregate products'!F63)))</f>
        <v>0</v>
      </c>
      <c r="Y62" t="b">
        <f ca="1">ISNUMBER(SEARCH(".xls",_xlfn.FORMULATEXT('Aggregate products'!G63)))</f>
        <v>0</v>
      </c>
      <c r="Z62" t="b">
        <f ca="1">ISNUMBER(SEARCH(".xls",_xlfn.FORMULATEXT('Aggregate products'!H63)))</f>
        <v>0</v>
      </c>
      <c r="AA62" t="b">
        <f ca="1">ISNUMBER(SEARCH(".xls",_xlfn.FORMULATEXT('Aggregate products'!I63)))</f>
        <v>0</v>
      </c>
      <c r="AB62" t="b">
        <f ca="1">ISNUMBER(SEARCH(".xls",_xlfn.FORMULATEXT('Aggregate products'!J63)))</f>
        <v>0</v>
      </c>
      <c r="AC62" t="b">
        <f ca="1">ISNUMBER(SEARCH(".xls",_xlfn.FORMULATEXT('Aggregate products'!K63)))</f>
        <v>0</v>
      </c>
      <c r="AD62" t="b">
        <f ca="1">ISNUMBER(SEARCH(".xls",_xlfn.FORMULATEXT('Aggregate products'!L63)))</f>
        <v>0</v>
      </c>
      <c r="AE62" t="b">
        <f ca="1">ISNUMBER(SEARCH(".xls",_xlfn.FORMULATEXT('Aggregate products'!M63)))</f>
        <v>0</v>
      </c>
      <c r="AF62" t="b">
        <f ca="1">ISNUMBER(SEARCH(".xls",_xlfn.FORMULATEXT('Aggregate products'!N63)))</f>
        <v>0</v>
      </c>
      <c r="AG62" s="38" t="b">
        <f ca="1">ISNUMBER(SEARCH(".xls",_xlfn.FORMULATEXT('Aggregate products'!O63)))</f>
        <v>0</v>
      </c>
    </row>
    <row r="63" spans="14:33" x14ac:dyDescent="0.3">
      <c r="N63" s="6" t="str">
        <f>'Aggregate products'!AE55</f>
        <v/>
      </c>
      <c r="O63" t="str">
        <f t="shared" si="0"/>
        <v/>
      </c>
      <c r="Q63" s="36" t="str">
        <f>IF('Aggregate products'!D64+'Aggregate products'!E64&lt;'Aggregate products'!G64, "Error", "")</f>
        <v/>
      </c>
      <c r="U63" s="37" t="b">
        <f ca="1">ISNUMBER(SEARCH(".xls",_xlfn.FORMULATEXT('Aggregate products'!C64)))</f>
        <v>0</v>
      </c>
      <c r="V63" t="b">
        <f ca="1">ISNUMBER(SEARCH(".xls",_xlfn.FORMULATEXT('Aggregate products'!D64)))</f>
        <v>0</v>
      </c>
      <c r="W63" t="b">
        <f ca="1">ISNUMBER(SEARCH(".xls",_xlfn.FORMULATEXT('Aggregate products'!E64)))</f>
        <v>0</v>
      </c>
      <c r="X63" t="b">
        <f ca="1">ISNUMBER(SEARCH(".xls",_xlfn.FORMULATEXT('Aggregate products'!F64)))</f>
        <v>0</v>
      </c>
      <c r="Y63" t="b">
        <f ca="1">ISNUMBER(SEARCH(".xls",_xlfn.FORMULATEXT('Aggregate products'!G64)))</f>
        <v>0</v>
      </c>
      <c r="Z63" t="b">
        <f ca="1">ISNUMBER(SEARCH(".xls",_xlfn.FORMULATEXT('Aggregate products'!H64)))</f>
        <v>0</v>
      </c>
      <c r="AA63" t="b">
        <f ca="1">ISNUMBER(SEARCH(".xls",_xlfn.FORMULATEXT('Aggregate products'!I64)))</f>
        <v>0</v>
      </c>
      <c r="AB63" t="b">
        <f ca="1">ISNUMBER(SEARCH(".xls",_xlfn.FORMULATEXT('Aggregate products'!J64)))</f>
        <v>0</v>
      </c>
      <c r="AC63" t="b">
        <f ca="1">ISNUMBER(SEARCH(".xls",_xlfn.FORMULATEXT('Aggregate products'!K64)))</f>
        <v>0</v>
      </c>
      <c r="AD63" t="b">
        <f ca="1">ISNUMBER(SEARCH(".xls",_xlfn.FORMULATEXT('Aggregate products'!L64)))</f>
        <v>0</v>
      </c>
      <c r="AE63" t="b">
        <f ca="1">ISNUMBER(SEARCH(".xls",_xlfn.FORMULATEXT('Aggregate products'!M64)))</f>
        <v>0</v>
      </c>
      <c r="AF63" t="b">
        <f ca="1">ISNUMBER(SEARCH(".xls",_xlfn.FORMULATEXT('Aggregate products'!N64)))</f>
        <v>0</v>
      </c>
      <c r="AG63" s="38" t="b">
        <f ca="1">ISNUMBER(SEARCH(".xls",_xlfn.FORMULATEXT('Aggregate products'!O64)))</f>
        <v>0</v>
      </c>
    </row>
    <row r="64" spans="14:33" x14ac:dyDescent="0.3">
      <c r="N64" s="6" t="str">
        <f>'Aggregate products'!AE56</f>
        <v/>
      </c>
      <c r="O64" t="str">
        <f t="shared" si="0"/>
        <v/>
      </c>
      <c r="Q64" s="36" t="str">
        <f>IF('Aggregate products'!D65+'Aggregate products'!E65&lt;'Aggregate products'!G65, "Error", "")</f>
        <v/>
      </c>
      <c r="U64" s="37" t="b">
        <f ca="1">ISNUMBER(SEARCH(".xls",_xlfn.FORMULATEXT('Aggregate products'!C65)))</f>
        <v>0</v>
      </c>
      <c r="V64" t="b">
        <f ca="1">ISNUMBER(SEARCH(".xls",_xlfn.FORMULATEXT('Aggregate products'!D65)))</f>
        <v>0</v>
      </c>
      <c r="W64" t="b">
        <f ca="1">ISNUMBER(SEARCH(".xls",_xlfn.FORMULATEXT('Aggregate products'!E65)))</f>
        <v>0</v>
      </c>
      <c r="X64" t="b">
        <f ca="1">ISNUMBER(SEARCH(".xls",_xlfn.FORMULATEXT('Aggregate products'!F65)))</f>
        <v>0</v>
      </c>
      <c r="Y64" t="b">
        <f ca="1">ISNUMBER(SEARCH(".xls",_xlfn.FORMULATEXT('Aggregate products'!G65)))</f>
        <v>0</v>
      </c>
      <c r="Z64" t="b">
        <f ca="1">ISNUMBER(SEARCH(".xls",_xlfn.FORMULATEXT('Aggregate products'!H65)))</f>
        <v>0</v>
      </c>
      <c r="AA64" t="b">
        <f ca="1">ISNUMBER(SEARCH(".xls",_xlfn.FORMULATEXT('Aggregate products'!I65)))</f>
        <v>0</v>
      </c>
      <c r="AB64" t="b">
        <f ca="1">ISNUMBER(SEARCH(".xls",_xlfn.FORMULATEXT('Aggregate products'!J65)))</f>
        <v>0</v>
      </c>
      <c r="AC64" t="b">
        <f ca="1">ISNUMBER(SEARCH(".xls",_xlfn.FORMULATEXT('Aggregate products'!K65)))</f>
        <v>0</v>
      </c>
      <c r="AD64" t="b">
        <f ca="1">ISNUMBER(SEARCH(".xls",_xlfn.FORMULATEXT('Aggregate products'!L65)))</f>
        <v>0</v>
      </c>
      <c r="AE64" t="b">
        <f ca="1">ISNUMBER(SEARCH(".xls",_xlfn.FORMULATEXT('Aggregate products'!M65)))</f>
        <v>0</v>
      </c>
      <c r="AF64" t="b">
        <f ca="1">ISNUMBER(SEARCH(".xls",_xlfn.FORMULATEXT('Aggregate products'!N65)))</f>
        <v>0</v>
      </c>
      <c r="AG64" s="38" t="b">
        <f ca="1">ISNUMBER(SEARCH(".xls",_xlfn.FORMULATEXT('Aggregate products'!O65)))</f>
        <v>0</v>
      </c>
    </row>
    <row r="65" spans="14:33" ht="15" thickBot="1" x14ac:dyDescent="0.35">
      <c r="N65" s="6" t="str">
        <f>'Aggregate products'!AE57</f>
        <v/>
      </c>
      <c r="O65" t="str">
        <f t="shared" si="0"/>
        <v/>
      </c>
      <c r="Q65" s="36" t="str">
        <f>IF('Aggregate products'!D66+'Aggregate products'!E66&lt;'Aggregate products'!G66, "Error", "")</f>
        <v/>
      </c>
      <c r="U65" s="37" t="b">
        <f ca="1">ISNUMBER(SEARCH(".xls",_xlfn.FORMULATEXT('Aggregate products'!C66)))</f>
        <v>0</v>
      </c>
      <c r="V65" s="39" t="b">
        <f ca="1">ISNUMBER(SEARCH(".xls",_xlfn.FORMULATEXT('Aggregate products'!D66)))</f>
        <v>0</v>
      </c>
      <c r="W65" s="39" t="b">
        <f ca="1">ISNUMBER(SEARCH(".xls",_xlfn.FORMULATEXT('Aggregate products'!E66)))</f>
        <v>0</v>
      </c>
      <c r="X65" s="39" t="b">
        <f ca="1">ISNUMBER(SEARCH(".xls",_xlfn.FORMULATEXT('Aggregate products'!F66)))</f>
        <v>0</v>
      </c>
      <c r="Y65" s="39" t="b">
        <f ca="1">ISNUMBER(SEARCH(".xls",_xlfn.FORMULATEXT('Aggregate products'!G66)))</f>
        <v>0</v>
      </c>
      <c r="Z65" s="39" t="b">
        <f ca="1">ISNUMBER(SEARCH(".xls",_xlfn.FORMULATEXT('Aggregate products'!H66)))</f>
        <v>0</v>
      </c>
      <c r="AA65" s="39" t="b">
        <f ca="1">ISNUMBER(SEARCH(".xls",_xlfn.FORMULATEXT('Aggregate products'!I66)))</f>
        <v>0</v>
      </c>
      <c r="AB65" s="39" t="b">
        <f ca="1">ISNUMBER(SEARCH(".xls",_xlfn.FORMULATEXT('Aggregate products'!J66)))</f>
        <v>0</v>
      </c>
      <c r="AC65" s="39" t="b">
        <f ca="1">ISNUMBER(SEARCH(".xls",_xlfn.FORMULATEXT('Aggregate products'!K66)))</f>
        <v>0</v>
      </c>
      <c r="AD65" s="39" t="b">
        <f ca="1">ISNUMBER(SEARCH(".xls",_xlfn.FORMULATEXT('Aggregate products'!L66)))</f>
        <v>0</v>
      </c>
      <c r="AE65" s="39" t="b">
        <f ca="1">ISNUMBER(SEARCH(".xls",_xlfn.FORMULATEXT('Aggregate products'!M66)))</f>
        <v>0</v>
      </c>
      <c r="AF65" s="39" t="b">
        <f ca="1">ISNUMBER(SEARCH(".xls",_xlfn.FORMULATEXT('Aggregate products'!N66)))</f>
        <v>0</v>
      </c>
      <c r="AG65" s="40" t="b">
        <f ca="1">ISNUMBER(SEARCH(".xls",_xlfn.FORMULATEXT('Aggregate products'!O66)))</f>
        <v>0</v>
      </c>
    </row>
    <row r="66" spans="14:33" ht="15" thickBot="1" x14ac:dyDescent="0.35">
      <c r="N66" s="6" t="str">
        <f>'Aggregate products'!AE58</f>
        <v/>
      </c>
      <c r="O66" t="str">
        <f t="shared" si="0"/>
        <v/>
      </c>
      <c r="U66" s="45" t="b">
        <f ca="1">ISNUMBER(SEARCH(".xls",_xlfn.FORMULATEXT('Aggregate products'!A72)))</f>
        <v>0</v>
      </c>
    </row>
    <row r="67" spans="14:33" x14ac:dyDescent="0.3">
      <c r="N67" s="6" t="str">
        <f>'Aggregate products'!AE59</f>
        <v/>
      </c>
      <c r="O67" t="str">
        <f t="shared" si="0"/>
        <v/>
      </c>
      <c r="U67" s="44" t="s">
        <v>293</v>
      </c>
    </row>
    <row r="68" spans="14:33" x14ac:dyDescent="0.3">
      <c r="N68" s="6" t="str">
        <f>'Aggregate products'!AE60</f>
        <v/>
      </c>
      <c r="O68" t="str">
        <f t="shared" si="0"/>
        <v/>
      </c>
      <c r="U68" s="44" t="s">
        <v>294</v>
      </c>
    </row>
    <row r="69" spans="14:33" x14ac:dyDescent="0.3">
      <c r="N69" s="6" t="str">
        <f>'Aggregate products'!AE61</f>
        <v/>
      </c>
      <c r="O69" t="str">
        <f t="shared" si="0"/>
        <v/>
      </c>
    </row>
    <row r="70" spans="14:33" x14ac:dyDescent="0.3">
      <c r="N70" s="6" t="str">
        <f>'Aggregate products'!AE62</f>
        <v/>
      </c>
      <c r="O70" t="str">
        <f t="shared" si="0"/>
        <v/>
      </c>
      <c r="U70" t="s">
        <v>295</v>
      </c>
      <c r="V70" t="s">
        <v>297</v>
      </c>
    </row>
    <row r="71" spans="14:33" x14ac:dyDescent="0.3">
      <c r="N71" s="6" t="str">
        <f>'Aggregate products'!AE63</f>
        <v/>
      </c>
      <c r="O71" t="str">
        <f t="shared" si="0"/>
        <v/>
      </c>
      <c r="U71" t="s">
        <v>296</v>
      </c>
      <c r="V71" t="s">
        <v>298</v>
      </c>
    </row>
    <row r="72" spans="14:33" x14ac:dyDescent="0.3">
      <c r="N72" s="6" t="str">
        <f>'Aggregate products'!AE64</f>
        <v/>
      </c>
      <c r="O72" t="str">
        <f t="shared" si="0"/>
        <v/>
      </c>
    </row>
    <row r="73" spans="14:33" x14ac:dyDescent="0.3">
      <c r="N73" s="6" t="str">
        <f>'Aggregate products'!AE65</f>
        <v/>
      </c>
      <c r="O73" t="str">
        <f t="shared" si="0"/>
        <v/>
      </c>
    </row>
    <row r="74" spans="14:33" x14ac:dyDescent="0.3">
      <c r="N74" s="6" t="str">
        <f>'Aggregate products'!AE66</f>
        <v/>
      </c>
      <c r="O74" t="str">
        <f t="shared" si="0"/>
        <v/>
      </c>
    </row>
    <row r="75" spans="14:33" x14ac:dyDescent="0.3">
      <c r="N75" s="6"/>
    </row>
    <row r="76" spans="14:33" x14ac:dyDescent="0.3">
      <c r="N76" s="6"/>
    </row>
  </sheetData>
  <mergeCells count="1">
    <mergeCell ref="U1:AG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3756934729C43A9A14A2A6CDE3B44" ma:contentTypeVersion="5" ma:contentTypeDescription="Create a new document." ma:contentTypeScope="" ma:versionID="85848296e8997487fa6cafa5d586cb44">
  <xsd:schema xmlns:xsd="http://www.w3.org/2001/XMLSchema" xmlns:xs="http://www.w3.org/2001/XMLSchema" xmlns:p="http://schemas.microsoft.com/office/2006/metadata/properties" xmlns:ns2="cbbf56d9-053a-4be0-bdf2-19c93972a988" xmlns:ns3="131a0674-932a-440a-9624-3e54be7ac72a" targetNamespace="http://schemas.microsoft.com/office/2006/metadata/properties" ma:root="true" ma:fieldsID="8464717e5aed05bbca24c038ac206c5a" ns2:_="" ns3:_="">
    <xsd:import namespace="cbbf56d9-053a-4be0-bdf2-19c93972a988"/>
    <xsd:import namespace="131a0674-932a-440a-9624-3e54be7ac72a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2:Reporter_x0020_Type" minOccurs="0"/>
                <xsd:element ref="ns2:Data_x0020_Years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6d9-053a-4be0-bdf2-19c93972a988" elementFormDefault="qualified">
    <xsd:import namespace="http://schemas.microsoft.com/office/2006/documentManagement/types"/>
    <xsd:import namespace="http://schemas.microsoft.com/office/infopath/2007/PartnerControls"/>
    <xsd:element name="Doc_x0020_Type" ma:index="2" nillable="true" ma:displayName="Doc Type" ma:internalName="Doc_x0020_Type">
      <xsd:simpleType>
        <xsd:restriction base="dms:Text">
          <xsd:maxLength value="255"/>
        </xsd:restriction>
      </xsd:simpleType>
    </xsd:element>
    <xsd:element name="Reporter_x0020_Type" ma:index="3" nillable="true" ma:displayName="Reporter Type" ma:internalName="Reporter_x0020_Type">
      <xsd:simpleType>
        <xsd:restriction base="dms:Text">
          <xsd:maxLength value="255"/>
        </xsd:restriction>
      </xsd:simpleType>
    </xsd:element>
    <xsd:element name="Data_x0020_Years" ma:index="4" nillable="true" ma:displayName="Data Years" ma:internalName="Data_x0020_Year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a0674-932a-440a-9624-3e54be7ac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Type xmlns="cbbf56d9-053a-4be0-bdf2-19c93972a988" xsi:nil="true"/>
    <Data_x0020_Years xmlns="cbbf56d9-053a-4be0-bdf2-19c93972a988" xsi:nil="true"/>
    <Reporter_x0020_Type xmlns="cbbf56d9-053a-4be0-bdf2-19c93972a988" xsi:nil="true"/>
    <_dlc_DocId xmlns="131a0674-932a-440a-9624-3e54be7ac72a">5UEW32KSF435-572435793-1881</_dlc_DocId>
    <_dlc_DocIdUrl xmlns="131a0674-932a-440a-9624-3e54be7ac72a">
      <Url>http://teams/sites/AQ/GHGR/_layouts/15/DocIdRedir.aspx?ID=5UEW32KSF435-572435793-1881</Url>
      <Description>5UEW32KSF435-572435793-1881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90D3C5-4C80-43D4-A1AF-042EAB064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bf56d9-053a-4be0-bdf2-19c93972a988"/>
    <ds:schemaRef ds:uri="131a0674-932a-440a-9624-3e54be7ac7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DF0B62-EA18-4B37-8A40-28CD22E11BCE}">
  <ds:schemaRefs>
    <ds:schemaRef ds:uri="http://www.w3.org/XML/1998/namespace"/>
    <ds:schemaRef ds:uri="http://purl.org/dc/terms/"/>
    <ds:schemaRef ds:uri="cbbf56d9-053a-4be0-bdf2-19c93972a988"/>
    <ds:schemaRef ds:uri="http://schemas.microsoft.com/office/2006/documentManagement/types"/>
    <ds:schemaRef ds:uri="131a0674-932a-440a-9624-3e54be7ac72a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79F674-350F-4143-B344-DC21C07208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50F45C-8381-4924-9A1B-21633191E2F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 here</vt:lpstr>
      <vt:lpstr>Aggregate products</vt:lpstr>
      <vt:lpstr>Reference</vt:lpstr>
      <vt:lpstr>Validation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Bruns, Emily (ECY)</dc:creator>
  <cp:lastModifiedBy>Yang, Joua (ECY)</cp:lastModifiedBy>
  <dcterms:created xsi:type="dcterms:W3CDTF">2021-06-15T22:05:32Z</dcterms:created>
  <dcterms:modified xsi:type="dcterms:W3CDTF">2025-02-25T19:22:00Z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0x0101008E83756934729C43A9A14A2A6CDE3B44</vt:lpwstr>
  </property>
  <property fmtid="{D5CDD505-2E9C-101B-9397-08002B2CF9AE}" pid="3" name="_dlc_DocIdItemGuid">
    <vt:lpwstr>9380dcfc-529f-49d2-a86e-7c88659aa9d7</vt:lpwstr>
  </property>
</Properties>
</file>